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PARA JOSE\ANUAL PARA 2020\"/>
    </mc:Choice>
  </mc:AlternateContent>
  <bookViews>
    <workbookView xWindow="0" yWindow="0" windowWidth="28800" windowHeight="11130"/>
  </bookViews>
  <sheets>
    <sheet name="presup 2020" sheetId="1" r:id="rId1"/>
  </sheets>
  <definedNames>
    <definedName name="_xlnm.Print_Area" localSheetId="0">'presup 2020'!$B$1:$S$335</definedName>
    <definedName name="_xlnm.Print_Titles" localSheetId="0">'presup 2020'!$1:$11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5" i="1" l="1"/>
  <c r="AH325" i="1" s="1"/>
  <c r="Z324" i="1"/>
  <c r="AA324" i="1" s="1"/>
  <c r="R324" i="1"/>
  <c r="Q324" i="1"/>
  <c r="Q323" i="1" s="1"/>
  <c r="Q322" i="1" s="1"/>
  <c r="P324" i="1"/>
  <c r="O324" i="1"/>
  <c r="O323" i="1" s="1"/>
  <c r="O322" i="1" s="1"/>
  <c r="N324" i="1"/>
  <c r="M324" i="1"/>
  <c r="M323" i="1" s="1"/>
  <c r="M322" i="1" s="1"/>
  <c r="L324" i="1"/>
  <c r="K324" i="1"/>
  <c r="K323" i="1" s="1"/>
  <c r="K322" i="1" s="1"/>
  <c r="J324" i="1"/>
  <c r="I324" i="1"/>
  <c r="I323" i="1" s="1"/>
  <c r="I322" i="1" s="1"/>
  <c r="H324" i="1"/>
  <c r="G324" i="1"/>
  <c r="G323" i="1" s="1"/>
  <c r="G322" i="1" s="1"/>
  <c r="F324" i="1"/>
  <c r="AH324" i="1" s="1"/>
  <c r="R323" i="1"/>
  <c r="P323" i="1"/>
  <c r="P322" i="1" s="1"/>
  <c r="N323" i="1"/>
  <c r="L323" i="1"/>
  <c r="L322" i="1" s="1"/>
  <c r="J323" i="1"/>
  <c r="H323" i="1"/>
  <c r="H322" i="1" s="1"/>
  <c r="F323" i="1"/>
  <c r="AH323" i="1" s="1"/>
  <c r="R322" i="1"/>
  <c r="N322" i="1"/>
  <c r="J322" i="1"/>
  <c r="F322" i="1"/>
  <c r="AH322" i="1" s="1"/>
  <c r="AG321" i="1"/>
  <c r="R321" i="1"/>
  <c r="R320" i="1" s="1"/>
  <c r="Q321" i="1"/>
  <c r="P321" i="1"/>
  <c r="P320" i="1" s="1"/>
  <c r="O321" i="1"/>
  <c r="N321" i="1"/>
  <c r="N320" i="1" s="1"/>
  <c r="M321" i="1"/>
  <c r="L321" i="1"/>
  <c r="L320" i="1" s="1"/>
  <c r="K321" i="1"/>
  <c r="J321" i="1"/>
  <c r="J320" i="1" s="1"/>
  <c r="I321" i="1"/>
  <c r="H321" i="1"/>
  <c r="H320" i="1" s="1"/>
  <c r="G321" i="1"/>
  <c r="F321" i="1"/>
  <c r="AM320" i="1"/>
  <c r="AK320" i="1"/>
  <c r="Z320" i="1"/>
  <c r="S320" i="1"/>
  <c r="Q320" i="1"/>
  <c r="O320" i="1"/>
  <c r="M320" i="1"/>
  <c r="K320" i="1"/>
  <c r="I320" i="1"/>
  <c r="G320" i="1"/>
  <c r="AG319" i="1"/>
  <c r="P319" i="1"/>
  <c r="O319" i="1"/>
  <c r="N319" i="1"/>
  <c r="M319" i="1"/>
  <c r="L319" i="1"/>
  <c r="K319" i="1"/>
  <c r="J319" i="1"/>
  <c r="I319" i="1"/>
  <c r="H319" i="1"/>
  <c r="G319" i="1"/>
  <c r="F319" i="1" s="1"/>
  <c r="Z318" i="1"/>
  <c r="R318" i="1"/>
  <c r="R317" i="1" s="1"/>
  <c r="Q318" i="1"/>
  <c r="P318" i="1"/>
  <c r="O318" i="1"/>
  <c r="N318" i="1"/>
  <c r="N317" i="1" s="1"/>
  <c r="M318" i="1"/>
  <c r="L318" i="1"/>
  <c r="K318" i="1"/>
  <c r="J318" i="1"/>
  <c r="J317" i="1" s="1"/>
  <c r="I318" i="1"/>
  <c r="H318" i="1"/>
  <c r="G318" i="1"/>
  <c r="Z317" i="1"/>
  <c r="P317" i="1"/>
  <c r="L317" i="1"/>
  <c r="H317" i="1"/>
  <c r="AG316" i="1"/>
  <c r="AH316" i="1" s="1"/>
  <c r="F316" i="1"/>
  <c r="AI316" i="1" s="1"/>
  <c r="F315" i="1"/>
  <c r="AH315" i="1" s="1"/>
  <c r="F314" i="1"/>
  <c r="AH314" i="1" s="1"/>
  <c r="F313" i="1"/>
  <c r="AH313" i="1" s="1"/>
  <c r="AG312" i="1"/>
  <c r="F312" i="1"/>
  <c r="AA312" i="1" s="1"/>
  <c r="AG311" i="1"/>
  <c r="AH311" i="1" s="1"/>
  <c r="F311" i="1"/>
  <c r="AI311" i="1" s="1"/>
  <c r="AG310" i="1"/>
  <c r="F310" i="1"/>
  <c r="AA310" i="1" s="1"/>
  <c r="AG309" i="1"/>
  <c r="AH309" i="1" s="1"/>
  <c r="F309" i="1"/>
  <c r="AI309" i="1" s="1"/>
  <c r="AG308" i="1"/>
  <c r="F308" i="1"/>
  <c r="AA308" i="1" s="1"/>
  <c r="AG307" i="1"/>
  <c r="AH307" i="1" s="1"/>
  <c r="F307" i="1"/>
  <c r="AI307" i="1" s="1"/>
  <c r="AG306" i="1"/>
  <c r="F306" i="1"/>
  <c r="AA306" i="1" s="1"/>
  <c r="AG305" i="1"/>
  <c r="AH305" i="1" s="1"/>
  <c r="F305" i="1"/>
  <c r="AI305" i="1" s="1"/>
  <c r="AG304" i="1"/>
  <c r="F304" i="1"/>
  <c r="AA304" i="1" s="1"/>
  <c r="F303" i="1"/>
  <c r="AI303" i="1" s="1"/>
  <c r="Z302" i="1"/>
  <c r="S302" i="1"/>
  <c r="R302" i="1"/>
  <c r="R301" i="1" s="1"/>
  <c r="R300" i="1" s="1"/>
  <c r="R299" i="1" s="1"/>
  <c r="Q302" i="1"/>
  <c r="P302" i="1"/>
  <c r="P301" i="1" s="1"/>
  <c r="P300" i="1" s="1"/>
  <c r="O302" i="1"/>
  <c r="N302" i="1"/>
  <c r="N301" i="1" s="1"/>
  <c r="N300" i="1" s="1"/>
  <c r="N299" i="1" s="1"/>
  <c r="M302" i="1"/>
  <c r="L302" i="1"/>
  <c r="L301" i="1" s="1"/>
  <c r="K302" i="1"/>
  <c r="J302" i="1"/>
  <c r="J301" i="1" s="1"/>
  <c r="J300" i="1" s="1"/>
  <c r="J299" i="1" s="1"/>
  <c r="I302" i="1"/>
  <c r="H302" i="1"/>
  <c r="H301" i="1" s="1"/>
  <c r="H300" i="1" s="1"/>
  <c r="G302" i="1"/>
  <c r="F302" i="1"/>
  <c r="S301" i="1"/>
  <c r="S300" i="1" s="1"/>
  <c r="S299" i="1" s="1"/>
  <c r="Q301" i="1"/>
  <c r="Q300" i="1" s="1"/>
  <c r="O301" i="1"/>
  <c r="O300" i="1" s="1"/>
  <c r="M301" i="1"/>
  <c r="M300" i="1" s="1"/>
  <c r="K301" i="1"/>
  <c r="K300" i="1" s="1"/>
  <c r="I301" i="1"/>
  <c r="I300" i="1" s="1"/>
  <c r="G301" i="1"/>
  <c r="G300" i="1" s="1"/>
  <c r="L300" i="1"/>
  <c r="F298" i="1"/>
  <c r="AH298" i="1" s="1"/>
  <c r="Z297" i="1"/>
  <c r="R297" i="1"/>
  <c r="Q297" i="1"/>
  <c r="Q296" i="1" s="1"/>
  <c r="Q295" i="1" s="1"/>
  <c r="P297" i="1"/>
  <c r="O297" i="1"/>
  <c r="O296" i="1" s="1"/>
  <c r="O295" i="1" s="1"/>
  <c r="N297" i="1"/>
  <c r="M297" i="1"/>
  <c r="M296" i="1" s="1"/>
  <c r="M295" i="1" s="1"/>
  <c r="L297" i="1"/>
  <c r="K297" i="1"/>
  <c r="K296" i="1" s="1"/>
  <c r="K295" i="1" s="1"/>
  <c r="J297" i="1"/>
  <c r="I297" i="1"/>
  <c r="I296" i="1" s="1"/>
  <c r="I295" i="1" s="1"/>
  <c r="H297" i="1"/>
  <c r="G297" i="1"/>
  <c r="G296" i="1" s="1"/>
  <c r="G295" i="1" s="1"/>
  <c r="R296" i="1"/>
  <c r="P296" i="1"/>
  <c r="N296" i="1"/>
  <c r="L296" i="1"/>
  <c r="J296" i="1"/>
  <c r="H296" i="1"/>
  <c r="R295" i="1"/>
  <c r="P295" i="1"/>
  <c r="N295" i="1"/>
  <c r="L295" i="1"/>
  <c r="J295" i="1"/>
  <c r="H295" i="1"/>
  <c r="AG294" i="1"/>
  <c r="F294" i="1"/>
  <c r="Z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AG292" i="1"/>
  <c r="AH292" i="1" s="1"/>
  <c r="F292" i="1"/>
  <c r="AI292" i="1" s="1"/>
  <c r="Z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AG290" i="1"/>
  <c r="AH290" i="1" s="1"/>
  <c r="F290" i="1"/>
  <c r="AA290" i="1" s="1"/>
  <c r="AH289" i="1"/>
  <c r="AG289" i="1"/>
  <c r="AA289" i="1"/>
  <c r="F289" i="1"/>
  <c r="AI289" i="1" s="1"/>
  <c r="Z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AH287" i="1"/>
  <c r="AG287" i="1"/>
  <c r="AA287" i="1"/>
  <c r="F287" i="1"/>
  <c r="AI287" i="1" s="1"/>
  <c r="Z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AH286" i="1" s="1"/>
  <c r="G285" i="1"/>
  <c r="F285" i="1" s="1"/>
  <c r="AA285" i="1" s="1"/>
  <c r="O284" i="1"/>
  <c r="L284" i="1"/>
  <c r="K284" i="1"/>
  <c r="J284" i="1"/>
  <c r="I284" i="1"/>
  <c r="H284" i="1"/>
  <c r="G284" i="1"/>
  <c r="F284" i="1" s="1"/>
  <c r="AA284" i="1" s="1"/>
  <c r="O283" i="1"/>
  <c r="L283" i="1"/>
  <c r="I283" i="1"/>
  <c r="H283" i="1"/>
  <c r="G283" i="1"/>
  <c r="F283" i="1" s="1"/>
  <c r="AA283" i="1" s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AA282" i="1" s="1"/>
  <c r="AG281" i="1"/>
  <c r="R281" i="1"/>
  <c r="Q281" i="1"/>
  <c r="O281" i="1"/>
  <c r="N281" i="1"/>
  <c r="M281" i="1"/>
  <c r="L281" i="1"/>
  <c r="K281" i="1"/>
  <c r="J281" i="1"/>
  <c r="I281" i="1"/>
  <c r="G281" i="1"/>
  <c r="F281" i="1"/>
  <c r="AG280" i="1"/>
  <c r="R280" i="1"/>
  <c r="R279" i="1" s="1"/>
  <c r="Q280" i="1"/>
  <c r="P280" i="1"/>
  <c r="P279" i="1" s="1"/>
  <c r="O280" i="1"/>
  <c r="N280" i="1"/>
  <c r="N279" i="1" s="1"/>
  <c r="M280" i="1"/>
  <c r="L280" i="1"/>
  <c r="L279" i="1" s="1"/>
  <c r="K280" i="1"/>
  <c r="J280" i="1"/>
  <c r="J279" i="1" s="1"/>
  <c r="I280" i="1"/>
  <c r="H280" i="1"/>
  <c r="H279" i="1" s="1"/>
  <c r="G280" i="1"/>
  <c r="F280" i="1"/>
  <c r="Z279" i="1"/>
  <c r="Q279" i="1"/>
  <c r="O279" i="1"/>
  <c r="M279" i="1"/>
  <c r="K279" i="1"/>
  <c r="I279" i="1"/>
  <c r="G279" i="1"/>
  <c r="Z278" i="1"/>
  <c r="O278" i="1"/>
  <c r="K278" i="1"/>
  <c r="G278" i="1"/>
  <c r="Z277" i="1"/>
  <c r="O277" i="1"/>
  <c r="K277" i="1"/>
  <c r="G277" i="1"/>
  <c r="AG276" i="1"/>
  <c r="AH276" i="1" s="1"/>
  <c r="F276" i="1"/>
  <c r="AA276" i="1" s="1"/>
  <c r="Z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AH275" i="1" s="1"/>
  <c r="AG274" i="1"/>
  <c r="AH274" i="1" s="1"/>
  <c r="F274" i="1"/>
  <c r="AI274" i="1" s="1"/>
  <c r="Z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AH273" i="1" s="1"/>
  <c r="AG272" i="1"/>
  <c r="F272" i="1"/>
  <c r="Z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L270" i="1"/>
  <c r="AH269" i="1"/>
  <c r="AG269" i="1"/>
  <c r="AA269" i="1"/>
  <c r="F269" i="1"/>
  <c r="AI269" i="1" s="1"/>
  <c r="AG268" i="1"/>
  <c r="F268" i="1"/>
  <c r="AA268" i="1" s="1"/>
  <c r="AH267" i="1"/>
  <c r="AG267" i="1"/>
  <c r="AA267" i="1"/>
  <c r="F267" i="1"/>
  <c r="AI267" i="1" s="1"/>
  <c r="AG266" i="1"/>
  <c r="AH266" i="1" s="1"/>
  <c r="F266" i="1"/>
  <c r="AA266" i="1" s="1"/>
  <c r="Z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AG264" i="1"/>
  <c r="AH264" i="1" s="1"/>
  <c r="F264" i="1"/>
  <c r="AI264" i="1" s="1"/>
  <c r="F263" i="1"/>
  <c r="AH263" i="1" s="1"/>
  <c r="Z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AH262" i="1" s="1"/>
  <c r="F261" i="1"/>
  <c r="AH261" i="1" s="1"/>
  <c r="Z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AH260" i="1" s="1"/>
  <c r="Z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AH259" i="1" s="1"/>
  <c r="AG258" i="1"/>
  <c r="K258" i="1"/>
  <c r="F258" i="1" s="1"/>
  <c r="AA258" i="1" s="1"/>
  <c r="AG257" i="1"/>
  <c r="F257" i="1"/>
  <c r="AA257" i="1" s="1"/>
  <c r="AG256" i="1"/>
  <c r="O256" i="1"/>
  <c r="N256" i="1"/>
  <c r="N254" i="1" s="1"/>
  <c r="M256" i="1"/>
  <c r="K256" i="1"/>
  <c r="AG255" i="1"/>
  <c r="F255" i="1"/>
  <c r="AA255" i="1" s="1"/>
  <c r="Z254" i="1"/>
  <c r="R254" i="1"/>
  <c r="Q254" i="1"/>
  <c r="P254" i="1"/>
  <c r="O254" i="1"/>
  <c r="M254" i="1"/>
  <c r="L254" i="1"/>
  <c r="J254" i="1"/>
  <c r="I254" i="1"/>
  <c r="H254" i="1"/>
  <c r="G254" i="1"/>
  <c r="AG253" i="1"/>
  <c r="AA253" i="1"/>
  <c r="F253" i="1"/>
  <c r="AI253" i="1" s="1"/>
  <c r="Z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AH252" i="1" s="1"/>
  <c r="AG251" i="1"/>
  <c r="H251" i="1"/>
  <c r="F250" i="1"/>
  <c r="AH250" i="1" s="1"/>
  <c r="AG249" i="1"/>
  <c r="Q249" i="1"/>
  <c r="P249" i="1"/>
  <c r="O249" i="1"/>
  <c r="F249" i="1" s="1"/>
  <c r="AA249" i="1" s="1"/>
  <c r="AG248" i="1"/>
  <c r="F248" i="1"/>
  <c r="AG247" i="1"/>
  <c r="AH247" i="1" s="1"/>
  <c r="F247" i="1"/>
  <c r="AI247" i="1" s="1"/>
  <c r="Z246" i="1"/>
  <c r="R246" i="1"/>
  <c r="Q246" i="1"/>
  <c r="P246" i="1"/>
  <c r="O246" i="1"/>
  <c r="N246" i="1"/>
  <c r="M246" i="1"/>
  <c r="L246" i="1"/>
  <c r="K246" i="1"/>
  <c r="J246" i="1"/>
  <c r="I246" i="1"/>
  <c r="G246" i="1"/>
  <c r="AG243" i="1"/>
  <c r="O243" i="1"/>
  <c r="F243" i="1" s="1"/>
  <c r="Z242" i="1"/>
  <c r="R242" i="1"/>
  <c r="Q242" i="1"/>
  <c r="Q241" i="1" s="1"/>
  <c r="P242" i="1"/>
  <c r="O242" i="1"/>
  <c r="O241" i="1" s="1"/>
  <c r="N242" i="1"/>
  <c r="M242" i="1"/>
  <c r="M241" i="1" s="1"/>
  <c r="L242" i="1"/>
  <c r="K242" i="1"/>
  <c r="K241" i="1" s="1"/>
  <c r="J242" i="1"/>
  <c r="I242" i="1"/>
  <c r="I241" i="1" s="1"/>
  <c r="H242" i="1"/>
  <c r="G242" i="1"/>
  <c r="G241" i="1" s="1"/>
  <c r="R241" i="1"/>
  <c r="P241" i="1"/>
  <c r="N241" i="1"/>
  <c r="L241" i="1"/>
  <c r="J241" i="1"/>
  <c r="H241" i="1"/>
  <c r="AG240" i="1"/>
  <c r="F240" i="1"/>
  <c r="AA240" i="1" s="1"/>
  <c r="AG239" i="1"/>
  <c r="AH239" i="1" s="1"/>
  <c r="F239" i="1"/>
  <c r="AI239" i="1" s="1"/>
  <c r="AG238" i="1"/>
  <c r="F238" i="1"/>
  <c r="AA238" i="1" s="1"/>
  <c r="AG237" i="1"/>
  <c r="AH237" i="1" s="1"/>
  <c r="F237" i="1"/>
  <c r="AI237" i="1" s="1"/>
  <c r="AG236" i="1"/>
  <c r="F236" i="1"/>
  <c r="AA236" i="1" s="1"/>
  <c r="AG235" i="1"/>
  <c r="AH235" i="1" s="1"/>
  <c r="F235" i="1"/>
  <c r="AI235" i="1" s="1"/>
  <c r="AG234" i="1"/>
  <c r="F234" i="1"/>
  <c r="Z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AG232" i="1"/>
  <c r="Q232" i="1"/>
  <c r="F232" i="1" s="1"/>
  <c r="Z231" i="1"/>
  <c r="R231" i="1"/>
  <c r="P231" i="1"/>
  <c r="P230" i="1" s="1"/>
  <c r="O231" i="1"/>
  <c r="N231" i="1"/>
  <c r="M231" i="1"/>
  <c r="L231" i="1"/>
  <c r="L230" i="1" s="1"/>
  <c r="K231" i="1"/>
  <c r="J231" i="1"/>
  <c r="I231" i="1"/>
  <c r="H231" i="1"/>
  <c r="H230" i="1" s="1"/>
  <c r="G231" i="1"/>
  <c r="R230" i="1"/>
  <c r="N230" i="1"/>
  <c r="J230" i="1"/>
  <c r="AG229" i="1"/>
  <c r="L229" i="1"/>
  <c r="AG228" i="1"/>
  <c r="J228" i="1"/>
  <c r="Z227" i="1"/>
  <c r="R227" i="1"/>
  <c r="Q227" i="1"/>
  <c r="P227" i="1"/>
  <c r="O227" i="1"/>
  <c r="N227" i="1"/>
  <c r="M227" i="1"/>
  <c r="K227" i="1"/>
  <c r="I227" i="1"/>
  <c r="H227" i="1"/>
  <c r="G227" i="1"/>
  <c r="AG226" i="1"/>
  <c r="F226" i="1"/>
  <c r="Z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AG224" i="1"/>
  <c r="F224" i="1"/>
  <c r="AA224" i="1" s="1"/>
  <c r="F223" i="1"/>
  <c r="AH223" i="1" s="1"/>
  <c r="AG222" i="1"/>
  <c r="AH222" i="1" s="1"/>
  <c r="F222" i="1"/>
  <c r="AI222" i="1" s="1"/>
  <c r="AG221" i="1"/>
  <c r="F221" i="1"/>
  <c r="AG220" i="1"/>
  <c r="AH220" i="1" s="1"/>
  <c r="F220" i="1"/>
  <c r="AI220" i="1" s="1"/>
  <c r="Z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AG218" i="1"/>
  <c r="AH218" i="1" s="1"/>
  <c r="Q218" i="1"/>
  <c r="F218" i="1" s="1"/>
  <c r="AA218" i="1" s="1"/>
  <c r="AG217" i="1"/>
  <c r="J217" i="1"/>
  <c r="P216" i="1"/>
  <c r="Z215" i="1"/>
  <c r="R215" i="1"/>
  <c r="Q215" i="1"/>
  <c r="O215" i="1"/>
  <c r="N215" i="1"/>
  <c r="M215" i="1"/>
  <c r="L215" i="1"/>
  <c r="K215" i="1"/>
  <c r="I215" i="1"/>
  <c r="H215" i="1"/>
  <c r="G215" i="1"/>
  <c r="AG214" i="1"/>
  <c r="O214" i="1"/>
  <c r="AG213" i="1"/>
  <c r="AH213" i="1" s="1"/>
  <c r="F213" i="1"/>
  <c r="AA213" i="1" s="1"/>
  <c r="AH212" i="1"/>
  <c r="AG212" i="1"/>
  <c r="AA212" i="1"/>
  <c r="F212" i="1"/>
  <c r="AI212" i="1" s="1"/>
  <c r="Z211" i="1"/>
  <c r="S211" i="1"/>
  <c r="R211" i="1"/>
  <c r="Q211" i="1"/>
  <c r="P211" i="1"/>
  <c r="N211" i="1"/>
  <c r="M211" i="1"/>
  <c r="L211" i="1"/>
  <c r="K211" i="1"/>
  <c r="J211" i="1"/>
  <c r="I211" i="1"/>
  <c r="H211" i="1"/>
  <c r="G211" i="1"/>
  <c r="AG210" i="1"/>
  <c r="Q210" i="1"/>
  <c r="F210" i="1" s="1"/>
  <c r="AG209" i="1"/>
  <c r="I209" i="1"/>
  <c r="F209" i="1"/>
  <c r="AI209" i="1" s="1"/>
  <c r="AG208" i="1"/>
  <c r="L208" i="1"/>
  <c r="F208" i="1"/>
  <c r="AI208" i="1" s="1"/>
  <c r="F207" i="1"/>
  <c r="AH207" i="1" s="1"/>
  <c r="Z206" i="1"/>
  <c r="R206" i="1"/>
  <c r="Q206" i="1"/>
  <c r="P206" i="1"/>
  <c r="O206" i="1"/>
  <c r="N206" i="1"/>
  <c r="M206" i="1"/>
  <c r="L206" i="1"/>
  <c r="L205" i="1" s="1"/>
  <c r="L204" i="1" s="1"/>
  <c r="K206" i="1"/>
  <c r="J206" i="1"/>
  <c r="I206" i="1"/>
  <c r="H206" i="1"/>
  <c r="H205" i="1" s="1"/>
  <c r="H204" i="1" s="1"/>
  <c r="G206" i="1"/>
  <c r="R205" i="1"/>
  <c r="N205" i="1"/>
  <c r="R204" i="1"/>
  <c r="N204" i="1"/>
  <c r="AG203" i="1"/>
  <c r="AH203" i="1" s="1"/>
  <c r="F203" i="1"/>
  <c r="AG202" i="1"/>
  <c r="O202" i="1"/>
  <c r="F202" i="1" s="1"/>
  <c r="AA202" i="1" s="1"/>
  <c r="AG201" i="1"/>
  <c r="L201" i="1"/>
  <c r="Z200" i="1"/>
  <c r="R200" i="1"/>
  <c r="Q200" i="1"/>
  <c r="P200" i="1"/>
  <c r="O200" i="1"/>
  <c r="N200" i="1"/>
  <c r="M200" i="1"/>
  <c r="K200" i="1"/>
  <c r="J200" i="1"/>
  <c r="I200" i="1"/>
  <c r="H200" i="1"/>
  <c r="G200" i="1"/>
  <c r="AG199" i="1"/>
  <c r="O199" i="1"/>
  <c r="F199" i="1" s="1"/>
  <c r="Z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AG197" i="1"/>
  <c r="F197" i="1"/>
  <c r="AA197" i="1" s="1"/>
  <c r="Z196" i="1"/>
  <c r="R196" i="1"/>
  <c r="R195" i="1" s="1"/>
  <c r="Q196" i="1"/>
  <c r="P196" i="1"/>
  <c r="P195" i="1" s="1"/>
  <c r="O196" i="1"/>
  <c r="N196" i="1"/>
  <c r="M196" i="1"/>
  <c r="L196" i="1"/>
  <c r="K196" i="1"/>
  <c r="J196" i="1"/>
  <c r="J195" i="1" s="1"/>
  <c r="I196" i="1"/>
  <c r="H196" i="1"/>
  <c r="H195" i="1" s="1"/>
  <c r="G196" i="1"/>
  <c r="F196" i="1"/>
  <c r="AH196" i="1" s="1"/>
  <c r="N195" i="1"/>
  <c r="F194" i="1"/>
  <c r="Z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AG192" i="1"/>
  <c r="L192" i="1"/>
  <c r="F192" i="1"/>
  <c r="AI192" i="1" s="1"/>
  <c r="AG191" i="1"/>
  <c r="H191" i="1"/>
  <c r="F191" i="1" s="1"/>
  <c r="AI191" i="1" s="1"/>
  <c r="AH190" i="1"/>
  <c r="F190" i="1"/>
  <c r="AH189" i="1"/>
  <c r="AG189" i="1"/>
  <c r="AA189" i="1"/>
  <c r="F189" i="1"/>
  <c r="AI189" i="1" s="1"/>
  <c r="Z188" i="1"/>
  <c r="R188" i="1"/>
  <c r="Q188" i="1"/>
  <c r="P188" i="1"/>
  <c r="O188" i="1"/>
  <c r="N188" i="1"/>
  <c r="M188" i="1"/>
  <c r="L188" i="1"/>
  <c r="K188" i="1"/>
  <c r="J188" i="1"/>
  <c r="I188" i="1"/>
  <c r="G188" i="1"/>
  <c r="AG187" i="1"/>
  <c r="G187" i="1"/>
  <c r="F187" i="1" s="1"/>
  <c r="AA187" i="1" s="1"/>
  <c r="AG186" i="1"/>
  <c r="H186" i="1"/>
  <c r="AG185" i="1"/>
  <c r="F185" i="1"/>
  <c r="AA185" i="1" s="1"/>
  <c r="AG184" i="1"/>
  <c r="G184" i="1"/>
  <c r="F184" i="1" s="1"/>
  <c r="AH183" i="1"/>
  <c r="AG183" i="1"/>
  <c r="AA183" i="1"/>
  <c r="F183" i="1"/>
  <c r="AI183" i="1" s="1"/>
  <c r="Z182" i="1"/>
  <c r="R182" i="1"/>
  <c r="Q182" i="1"/>
  <c r="Q181" i="1" s="1"/>
  <c r="P182" i="1"/>
  <c r="O182" i="1"/>
  <c r="N182" i="1"/>
  <c r="M182" i="1"/>
  <c r="M181" i="1" s="1"/>
  <c r="L182" i="1"/>
  <c r="K182" i="1"/>
  <c r="J182" i="1"/>
  <c r="I182" i="1"/>
  <c r="I181" i="1" s="1"/>
  <c r="Z181" i="1"/>
  <c r="O181" i="1"/>
  <c r="K181" i="1"/>
  <c r="AA180" i="1"/>
  <c r="F180" i="1"/>
  <c r="AH180" i="1" s="1"/>
  <c r="F179" i="1"/>
  <c r="AH179" i="1" s="1"/>
  <c r="AA178" i="1"/>
  <c r="F178" i="1"/>
  <c r="AH178" i="1" s="1"/>
  <c r="F177" i="1"/>
  <c r="AH177" i="1" s="1"/>
  <c r="AA176" i="1"/>
  <c r="F176" i="1"/>
  <c r="AH176" i="1" s="1"/>
  <c r="AG175" i="1"/>
  <c r="AA175" i="1"/>
  <c r="Z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H175" i="1" s="1"/>
  <c r="AG174" i="1"/>
  <c r="F174" i="1"/>
  <c r="AA174" i="1" s="1"/>
  <c r="AH173" i="1"/>
  <c r="AG173" i="1"/>
  <c r="AA173" i="1"/>
  <c r="F173" i="1"/>
  <c r="AI173" i="1" s="1"/>
  <c r="AG172" i="1"/>
  <c r="AH172" i="1" s="1"/>
  <c r="F172" i="1"/>
  <c r="AA172" i="1" s="1"/>
  <c r="AH171" i="1"/>
  <c r="AG171" i="1"/>
  <c r="AA171" i="1"/>
  <c r="F171" i="1"/>
  <c r="AI171" i="1" s="1"/>
  <c r="AG170" i="1"/>
  <c r="F170" i="1"/>
  <c r="AA170" i="1" s="1"/>
  <c r="AH169" i="1"/>
  <c r="AG169" i="1"/>
  <c r="AA169" i="1"/>
  <c r="F169" i="1"/>
  <c r="AI169" i="1" s="1"/>
  <c r="AG168" i="1"/>
  <c r="AH168" i="1" s="1"/>
  <c r="F168" i="1"/>
  <c r="AA168" i="1" s="1"/>
  <c r="AH167" i="1"/>
  <c r="AG167" i="1"/>
  <c r="AA167" i="1"/>
  <c r="F167" i="1"/>
  <c r="AI167" i="1" s="1"/>
  <c r="AG166" i="1"/>
  <c r="F166" i="1"/>
  <c r="AA166" i="1" s="1"/>
  <c r="Z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Z164" i="1"/>
  <c r="R164" i="1"/>
  <c r="P164" i="1"/>
  <c r="N164" i="1"/>
  <c r="L164" i="1"/>
  <c r="J164" i="1"/>
  <c r="H164" i="1"/>
  <c r="AG163" i="1"/>
  <c r="O163" i="1"/>
  <c r="F163" i="1"/>
  <c r="AI163" i="1" s="1"/>
  <c r="Z162" i="1"/>
  <c r="R162" i="1"/>
  <c r="Q162" i="1"/>
  <c r="P162" i="1"/>
  <c r="O162" i="1"/>
  <c r="N162" i="1"/>
  <c r="N143" i="1" s="1"/>
  <c r="M162" i="1"/>
  <c r="L162" i="1"/>
  <c r="L143" i="1" s="1"/>
  <c r="K162" i="1"/>
  <c r="J162" i="1"/>
  <c r="J143" i="1" s="1"/>
  <c r="I162" i="1"/>
  <c r="H162" i="1"/>
  <c r="H143" i="1" s="1"/>
  <c r="G162" i="1"/>
  <c r="F162" i="1"/>
  <c r="AH162" i="1" s="1"/>
  <c r="AG161" i="1"/>
  <c r="AH161" i="1" s="1"/>
  <c r="F161" i="1"/>
  <c r="AI161" i="1" s="1"/>
  <c r="Z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AG159" i="1"/>
  <c r="F159" i="1"/>
  <c r="AA159" i="1" s="1"/>
  <c r="AH158" i="1"/>
  <c r="AG158" i="1"/>
  <c r="AA158" i="1"/>
  <c r="F158" i="1"/>
  <c r="AI158" i="1" s="1"/>
  <c r="AG157" i="1"/>
  <c r="AH157" i="1" s="1"/>
  <c r="F157" i="1"/>
  <c r="AA157" i="1" s="1"/>
  <c r="AH156" i="1"/>
  <c r="AG156" i="1"/>
  <c r="AA156" i="1"/>
  <c r="F156" i="1"/>
  <c r="AI156" i="1" s="1"/>
  <c r="AG155" i="1"/>
  <c r="F155" i="1"/>
  <c r="AA155" i="1" s="1"/>
  <c r="AH154" i="1"/>
  <c r="AG154" i="1"/>
  <c r="AA154" i="1"/>
  <c r="F154" i="1"/>
  <c r="AI154" i="1" s="1"/>
  <c r="AG153" i="1"/>
  <c r="AH153" i="1" s="1"/>
  <c r="P153" i="1"/>
  <c r="F153" i="1" s="1"/>
  <c r="AA153" i="1" s="1"/>
  <c r="F152" i="1"/>
  <c r="AH152" i="1" s="1"/>
  <c r="AG151" i="1"/>
  <c r="O151" i="1"/>
  <c r="AG150" i="1"/>
  <c r="F150" i="1"/>
  <c r="AA150" i="1" s="1"/>
  <c r="AG149" i="1"/>
  <c r="R149" i="1"/>
  <c r="F149" i="1" s="1"/>
  <c r="AI149" i="1" s="1"/>
  <c r="AA148" i="1"/>
  <c r="F148" i="1"/>
  <c r="AI148" i="1" s="1"/>
  <c r="AI147" i="1"/>
  <c r="F147" i="1"/>
  <c r="AA147" i="1" s="1"/>
  <c r="AA146" i="1"/>
  <c r="F146" i="1"/>
  <c r="AI146" i="1" s="1"/>
  <c r="AI145" i="1"/>
  <c r="F145" i="1"/>
  <c r="AA145" i="1" s="1"/>
  <c r="AA144" i="1"/>
  <c r="F144" i="1"/>
  <c r="AI144" i="1" s="1"/>
  <c r="Z143" i="1"/>
  <c r="Q143" i="1"/>
  <c r="P143" i="1"/>
  <c r="M143" i="1"/>
  <c r="K143" i="1"/>
  <c r="I143" i="1"/>
  <c r="G143" i="1"/>
  <c r="AA142" i="1"/>
  <c r="F142" i="1"/>
  <c r="AI142" i="1" s="1"/>
  <c r="AI141" i="1"/>
  <c r="F141" i="1"/>
  <c r="AA141" i="1" s="1"/>
  <c r="AA140" i="1"/>
  <c r="F140" i="1"/>
  <c r="AI140" i="1" s="1"/>
  <c r="AI139" i="1"/>
  <c r="F139" i="1"/>
  <c r="AA139" i="1" s="1"/>
  <c r="AA138" i="1"/>
  <c r="F138" i="1"/>
  <c r="AI138" i="1" s="1"/>
  <c r="F137" i="1"/>
  <c r="AA137" i="1" s="1"/>
  <c r="F136" i="1"/>
  <c r="AI136" i="1" s="1"/>
  <c r="F135" i="1"/>
  <c r="AA135" i="1" s="1"/>
  <c r="F134" i="1"/>
  <c r="AI134" i="1" s="1"/>
  <c r="Z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AA133" i="1" s="1"/>
  <c r="F132" i="1"/>
  <c r="AI132" i="1" s="1"/>
  <c r="F131" i="1"/>
  <c r="AA131" i="1" s="1"/>
  <c r="F130" i="1"/>
  <c r="AI130" i="1" s="1"/>
  <c r="F129" i="1"/>
  <c r="AA129" i="1" s="1"/>
  <c r="F128" i="1"/>
  <c r="AI128" i="1" s="1"/>
  <c r="F127" i="1"/>
  <c r="AA127" i="1" s="1"/>
  <c r="F126" i="1"/>
  <c r="AI126" i="1" s="1"/>
  <c r="Z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O123" i="1"/>
  <c r="J123" i="1"/>
  <c r="F123" i="1"/>
  <c r="AA123" i="1" s="1"/>
  <c r="O122" i="1"/>
  <c r="L122" i="1"/>
  <c r="K122" i="1"/>
  <c r="J122" i="1"/>
  <c r="I122" i="1"/>
  <c r="F122" i="1"/>
  <c r="AI122" i="1" s="1"/>
  <c r="L121" i="1"/>
  <c r="I121" i="1"/>
  <c r="Z120" i="1"/>
  <c r="R120" i="1"/>
  <c r="Q120" i="1"/>
  <c r="P120" i="1"/>
  <c r="N120" i="1"/>
  <c r="M120" i="1"/>
  <c r="L120" i="1"/>
  <c r="K120" i="1"/>
  <c r="J120" i="1"/>
  <c r="H120" i="1"/>
  <c r="G120" i="1"/>
  <c r="AA119" i="1"/>
  <c r="F119" i="1"/>
  <c r="AI119" i="1" s="1"/>
  <c r="G118" i="1"/>
  <c r="Z117" i="1"/>
  <c r="R117" i="1"/>
  <c r="Q117" i="1"/>
  <c r="P117" i="1"/>
  <c r="O117" i="1"/>
  <c r="N117" i="1"/>
  <c r="M117" i="1"/>
  <c r="L117" i="1"/>
  <c r="K117" i="1"/>
  <c r="J117" i="1"/>
  <c r="I117" i="1"/>
  <c r="H117" i="1"/>
  <c r="F115" i="1"/>
  <c r="AI115" i="1" s="1"/>
  <c r="F114" i="1"/>
  <c r="F113" i="1"/>
  <c r="AI113" i="1" s="1"/>
  <c r="F112" i="1"/>
  <c r="AA112" i="1" s="1"/>
  <c r="F111" i="1"/>
  <c r="AI111" i="1" s="1"/>
  <c r="F110" i="1"/>
  <c r="AA110" i="1" s="1"/>
  <c r="F109" i="1"/>
  <c r="AI109" i="1" s="1"/>
  <c r="F108" i="1"/>
  <c r="AA108" i="1" s="1"/>
  <c r="F107" i="1"/>
  <c r="AI107" i="1" s="1"/>
  <c r="F106" i="1"/>
  <c r="AA106" i="1" s="1"/>
  <c r="F105" i="1"/>
  <c r="AI105" i="1" s="1"/>
  <c r="F104" i="1"/>
  <c r="AA104" i="1" s="1"/>
  <c r="F103" i="1"/>
  <c r="AI103" i="1" s="1"/>
  <c r="F102" i="1"/>
  <c r="AA102" i="1" s="1"/>
  <c r="F101" i="1"/>
  <c r="AI101" i="1" s="1"/>
  <c r="R100" i="1"/>
  <c r="R99" i="1" s="1"/>
  <c r="Q100" i="1"/>
  <c r="P100" i="1"/>
  <c r="P99" i="1" s="1"/>
  <c r="O100" i="1"/>
  <c r="N100" i="1"/>
  <c r="N99" i="1" s="1"/>
  <c r="M100" i="1"/>
  <c r="L100" i="1"/>
  <c r="L99" i="1" s="1"/>
  <c r="K100" i="1"/>
  <c r="J100" i="1"/>
  <c r="J99" i="1" s="1"/>
  <c r="I100" i="1"/>
  <c r="H100" i="1"/>
  <c r="H99" i="1" s="1"/>
  <c r="G100" i="1"/>
  <c r="F100" i="1"/>
  <c r="Z99" i="1"/>
  <c r="Q99" i="1"/>
  <c r="O99" i="1"/>
  <c r="M99" i="1"/>
  <c r="K99" i="1"/>
  <c r="I99" i="1"/>
  <c r="G99" i="1"/>
  <c r="O98" i="1"/>
  <c r="O97" i="1" s="1"/>
  <c r="N98" i="1"/>
  <c r="M98" i="1"/>
  <c r="M97" i="1" s="1"/>
  <c r="L98" i="1"/>
  <c r="K98" i="1"/>
  <c r="K97" i="1" s="1"/>
  <c r="J98" i="1"/>
  <c r="I98" i="1"/>
  <c r="Z97" i="1"/>
  <c r="R97" i="1"/>
  <c r="Q97" i="1"/>
  <c r="P97" i="1"/>
  <c r="N97" i="1"/>
  <c r="L97" i="1"/>
  <c r="J97" i="1"/>
  <c r="H97" i="1"/>
  <c r="G97" i="1"/>
  <c r="AA96" i="1"/>
  <c r="F96" i="1"/>
  <c r="AI96" i="1" s="1"/>
  <c r="R95" i="1"/>
  <c r="R94" i="1" s="1"/>
  <c r="Q95" i="1"/>
  <c r="P95" i="1"/>
  <c r="P94" i="1" s="1"/>
  <c r="O95" i="1"/>
  <c r="L95" i="1"/>
  <c r="L94" i="1" s="1"/>
  <c r="K95" i="1"/>
  <c r="J95" i="1"/>
  <c r="J94" i="1" s="1"/>
  <c r="I95" i="1"/>
  <c r="H95" i="1"/>
  <c r="H94" i="1" s="1"/>
  <c r="G95" i="1"/>
  <c r="F95" i="1"/>
  <c r="AA95" i="1" s="1"/>
  <c r="Z94" i="1"/>
  <c r="S94" i="1"/>
  <c r="Q94" i="1"/>
  <c r="O94" i="1"/>
  <c r="N94" i="1"/>
  <c r="M94" i="1"/>
  <c r="K94" i="1"/>
  <c r="I94" i="1"/>
  <c r="G94" i="1"/>
  <c r="R93" i="1"/>
  <c r="Q93" i="1"/>
  <c r="Q92" i="1" s="1"/>
  <c r="P93" i="1"/>
  <c r="O93" i="1"/>
  <c r="L93" i="1"/>
  <c r="K93" i="1"/>
  <c r="K92" i="1" s="1"/>
  <c r="J93" i="1"/>
  <c r="I93" i="1"/>
  <c r="H93" i="1"/>
  <c r="G93" i="1"/>
  <c r="N92" i="1"/>
  <c r="R91" i="1"/>
  <c r="F91" i="1"/>
  <c r="Z90" i="1"/>
  <c r="R90" i="1"/>
  <c r="Q90" i="1"/>
  <c r="P90" i="1"/>
  <c r="O90" i="1"/>
  <c r="N90" i="1"/>
  <c r="M90" i="1"/>
  <c r="L90" i="1"/>
  <c r="K90" i="1"/>
  <c r="J90" i="1"/>
  <c r="I90" i="1"/>
  <c r="H90" i="1"/>
  <c r="G90" i="1"/>
  <c r="R89" i="1"/>
  <c r="F89" i="1" s="1"/>
  <c r="AA89" i="1" s="1"/>
  <c r="Z88" i="1"/>
  <c r="Q88" i="1"/>
  <c r="P88" i="1"/>
  <c r="O88" i="1"/>
  <c r="N88" i="1"/>
  <c r="M88" i="1"/>
  <c r="L88" i="1"/>
  <c r="K88" i="1"/>
  <c r="J88" i="1"/>
  <c r="I88" i="1"/>
  <c r="H88" i="1"/>
  <c r="G88" i="1"/>
  <c r="F87" i="1"/>
  <c r="AI87" i="1" s="1"/>
  <c r="F86" i="1"/>
  <c r="AA86" i="1" s="1"/>
  <c r="F85" i="1"/>
  <c r="AI85" i="1" s="1"/>
  <c r="F84" i="1"/>
  <c r="AA84" i="1" s="1"/>
  <c r="F83" i="1"/>
  <c r="AI83" i="1" s="1"/>
  <c r="F82" i="1"/>
  <c r="AA82" i="1" s="1"/>
  <c r="F81" i="1"/>
  <c r="AI81" i="1" s="1"/>
  <c r="F80" i="1"/>
  <c r="AA80" i="1" s="1"/>
  <c r="F79" i="1"/>
  <c r="AI79" i="1" s="1"/>
  <c r="F78" i="1"/>
  <c r="AA78" i="1" s="1"/>
  <c r="AA77" i="1"/>
  <c r="F77" i="1"/>
  <c r="AI77" i="1" s="1"/>
  <c r="Z76" i="1"/>
  <c r="R76" i="1"/>
  <c r="Q76" i="1"/>
  <c r="P76" i="1"/>
  <c r="O76" i="1"/>
  <c r="N76" i="1"/>
  <c r="M76" i="1"/>
  <c r="L76" i="1"/>
  <c r="K76" i="1"/>
  <c r="J76" i="1"/>
  <c r="I76" i="1"/>
  <c r="H76" i="1"/>
  <c r="G76" i="1"/>
  <c r="AG75" i="1"/>
  <c r="F75" i="1"/>
  <c r="AI75" i="1" s="1"/>
  <c r="Z74" i="1"/>
  <c r="R74" i="1"/>
  <c r="Q74" i="1"/>
  <c r="P74" i="1"/>
  <c r="O74" i="1"/>
  <c r="N74" i="1"/>
  <c r="M74" i="1"/>
  <c r="L74" i="1"/>
  <c r="K74" i="1"/>
  <c r="J74" i="1"/>
  <c r="I74" i="1"/>
  <c r="H74" i="1"/>
  <c r="G74" i="1"/>
  <c r="F73" i="1"/>
  <c r="AA73" i="1" s="1"/>
  <c r="Z72" i="1"/>
  <c r="R72" i="1"/>
  <c r="Q72" i="1"/>
  <c r="Q71" i="1" s="1"/>
  <c r="Q70" i="1" s="1"/>
  <c r="P72" i="1"/>
  <c r="O72" i="1"/>
  <c r="O71" i="1" s="1"/>
  <c r="N72" i="1"/>
  <c r="M72" i="1"/>
  <c r="M71" i="1" s="1"/>
  <c r="L72" i="1"/>
  <c r="K72" i="1"/>
  <c r="K71" i="1" s="1"/>
  <c r="K70" i="1" s="1"/>
  <c r="J72" i="1"/>
  <c r="I72" i="1"/>
  <c r="I71" i="1" s="1"/>
  <c r="H72" i="1"/>
  <c r="G72" i="1"/>
  <c r="G71" i="1" s="1"/>
  <c r="R71" i="1"/>
  <c r="P71" i="1"/>
  <c r="N71" i="1"/>
  <c r="N70" i="1" s="1"/>
  <c r="L71" i="1"/>
  <c r="J71" i="1"/>
  <c r="H71" i="1"/>
  <c r="F68" i="1"/>
  <c r="AI68" i="1" s="1"/>
  <c r="F67" i="1"/>
  <c r="AA67" i="1" s="1"/>
  <c r="Z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R65" i="1"/>
  <c r="Q65" i="1"/>
  <c r="Q63" i="1" s="1"/>
  <c r="P65" i="1"/>
  <c r="O65" i="1"/>
  <c r="O63" i="1" s="1"/>
  <c r="N65" i="1"/>
  <c r="M65" i="1"/>
  <c r="M63" i="1" s="1"/>
  <c r="L65" i="1"/>
  <c r="K65" i="1"/>
  <c r="K63" i="1" s="1"/>
  <c r="J65" i="1"/>
  <c r="I65" i="1"/>
  <c r="I63" i="1" s="1"/>
  <c r="H65" i="1"/>
  <c r="G65" i="1"/>
  <c r="F65" i="1" s="1"/>
  <c r="F64" i="1"/>
  <c r="AA64" i="1" s="1"/>
  <c r="Z63" i="1"/>
  <c r="S63" i="1"/>
  <c r="R63" i="1"/>
  <c r="P63" i="1"/>
  <c r="N63" i="1"/>
  <c r="L63" i="1"/>
  <c r="J63" i="1"/>
  <c r="H63" i="1"/>
  <c r="R62" i="1"/>
  <c r="Q62" i="1"/>
  <c r="P62" i="1"/>
  <c r="O62" i="1"/>
  <c r="N62" i="1"/>
  <c r="M62" i="1"/>
  <c r="L62" i="1"/>
  <c r="K62" i="1"/>
  <c r="J62" i="1"/>
  <c r="I62" i="1"/>
  <c r="H62" i="1"/>
  <c r="G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A61" i="1" s="1"/>
  <c r="F60" i="1"/>
  <c r="AI60" i="1" s="1"/>
  <c r="R59" i="1"/>
  <c r="Q59" i="1"/>
  <c r="P59" i="1"/>
  <c r="O59" i="1"/>
  <c r="L59" i="1"/>
  <c r="K59" i="1"/>
  <c r="J59" i="1"/>
  <c r="I59" i="1"/>
  <c r="H59" i="1"/>
  <c r="G59" i="1"/>
  <c r="F59" i="1" s="1"/>
  <c r="AA59" i="1" s="1"/>
  <c r="R58" i="1"/>
  <c r="Q58" i="1"/>
  <c r="P58" i="1"/>
  <c r="O58" i="1"/>
  <c r="L58" i="1"/>
  <c r="K58" i="1"/>
  <c r="J58" i="1"/>
  <c r="I58" i="1"/>
  <c r="H58" i="1"/>
  <c r="G58" i="1"/>
  <c r="Z57" i="1"/>
  <c r="R57" i="1"/>
  <c r="R56" i="1" s="1"/>
  <c r="P57" i="1"/>
  <c r="P56" i="1" s="1"/>
  <c r="N57" i="1"/>
  <c r="N56" i="1" s="1"/>
  <c r="L57" i="1"/>
  <c r="L56" i="1" s="1"/>
  <c r="J57" i="1"/>
  <c r="J56" i="1" s="1"/>
  <c r="H57" i="1"/>
  <c r="H56" i="1" s="1"/>
  <c r="Z56" i="1"/>
  <c r="F55" i="1"/>
  <c r="AA55" i="1" s="1"/>
  <c r="Z54" i="1"/>
  <c r="R54" i="1"/>
  <c r="Q54" i="1"/>
  <c r="P54" i="1"/>
  <c r="O54" i="1"/>
  <c r="N54" i="1"/>
  <c r="M54" i="1"/>
  <c r="L54" i="1"/>
  <c r="K54" i="1"/>
  <c r="J54" i="1"/>
  <c r="I54" i="1"/>
  <c r="H54" i="1"/>
  <c r="G54" i="1"/>
  <c r="F53" i="1"/>
  <c r="AA53" i="1" s="1"/>
  <c r="F52" i="1"/>
  <c r="AI52" i="1" s="1"/>
  <c r="F51" i="1"/>
  <c r="AA51" i="1" s="1"/>
  <c r="AA50" i="1"/>
  <c r="F50" i="1"/>
  <c r="AI50" i="1" s="1"/>
  <c r="AG49" i="1"/>
  <c r="AA49" i="1"/>
  <c r="F49" i="1"/>
  <c r="AI49" i="1" s="1"/>
  <c r="AG48" i="1"/>
  <c r="AA48" i="1"/>
  <c r="F48" i="1"/>
  <c r="AI48" i="1" s="1"/>
  <c r="Z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F46" i="1" s="1"/>
  <c r="AH45" i="1"/>
  <c r="F45" i="1"/>
  <c r="AI45" i="1" s="1"/>
  <c r="Z44" i="1"/>
  <c r="AA44" i="1" s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F43" i="1"/>
  <c r="AA43" i="1" s="1"/>
  <c r="Z42" i="1"/>
  <c r="R42" i="1"/>
  <c r="Q42" i="1"/>
  <c r="P42" i="1"/>
  <c r="O42" i="1"/>
  <c r="N42" i="1"/>
  <c r="M42" i="1"/>
  <c r="L42" i="1"/>
  <c r="K42" i="1"/>
  <c r="J42" i="1"/>
  <c r="I42" i="1"/>
  <c r="H42" i="1"/>
  <c r="G42" i="1"/>
  <c r="Z41" i="1"/>
  <c r="R41" i="1"/>
  <c r="Q41" i="1"/>
  <c r="Q40" i="1" s="1"/>
  <c r="Q46" i="1" s="1"/>
  <c r="P41" i="1"/>
  <c r="O41" i="1"/>
  <c r="O40" i="1" s="1"/>
  <c r="O46" i="1" s="1"/>
  <c r="N41" i="1"/>
  <c r="M41" i="1"/>
  <c r="M40" i="1" s="1"/>
  <c r="M46" i="1" s="1"/>
  <c r="L41" i="1"/>
  <c r="K41" i="1"/>
  <c r="K40" i="1" s="1"/>
  <c r="K46" i="1" s="1"/>
  <c r="J41" i="1"/>
  <c r="I41" i="1"/>
  <c r="I40" i="1" s="1"/>
  <c r="I46" i="1" s="1"/>
  <c r="H41" i="1"/>
  <c r="G41" i="1"/>
  <c r="G40" i="1" s="1"/>
  <c r="G46" i="1" s="1"/>
  <c r="R40" i="1"/>
  <c r="P40" i="1"/>
  <c r="N40" i="1"/>
  <c r="L40" i="1"/>
  <c r="J40" i="1"/>
  <c r="H40" i="1"/>
  <c r="F39" i="1"/>
  <c r="AI39" i="1" s="1"/>
  <c r="AH38" i="1"/>
  <c r="Q38" i="1"/>
  <c r="P38" i="1"/>
  <c r="O38" i="1"/>
  <c r="F38" i="1" s="1"/>
  <c r="AH37" i="1"/>
  <c r="F37" i="1"/>
  <c r="AI37" i="1" s="1"/>
  <c r="AH36" i="1"/>
  <c r="F36" i="1"/>
  <c r="AI36" i="1" s="1"/>
  <c r="Z35" i="1"/>
  <c r="R35" i="1"/>
  <c r="Q35" i="1"/>
  <c r="P35" i="1"/>
  <c r="O35" i="1"/>
  <c r="N35" i="1"/>
  <c r="M35" i="1"/>
  <c r="L35" i="1"/>
  <c r="K35" i="1"/>
  <c r="J35" i="1"/>
  <c r="I35" i="1"/>
  <c r="H35" i="1"/>
  <c r="G35" i="1"/>
  <c r="AH34" i="1"/>
  <c r="AH35" i="1" s="1"/>
  <c r="F34" i="1"/>
  <c r="AI34" i="1" s="1"/>
  <c r="AH33" i="1"/>
  <c r="F33" i="1"/>
  <c r="AI33" i="1" s="1"/>
  <c r="AH32" i="1"/>
  <c r="O32" i="1"/>
  <c r="O31" i="1" s="1"/>
  <c r="N32" i="1"/>
  <c r="M32" i="1"/>
  <c r="M31" i="1" s="1"/>
  <c r="L32" i="1"/>
  <c r="K32" i="1"/>
  <c r="K31" i="1" s="1"/>
  <c r="J32" i="1"/>
  <c r="I32" i="1"/>
  <c r="I31" i="1" s="1"/>
  <c r="H32" i="1"/>
  <c r="G32" i="1"/>
  <c r="F32" i="1" s="1"/>
  <c r="Z31" i="1"/>
  <c r="R31" i="1"/>
  <c r="Q31" i="1"/>
  <c r="P31" i="1"/>
  <c r="N31" i="1"/>
  <c r="L31" i="1"/>
  <c r="J31" i="1"/>
  <c r="H31" i="1"/>
  <c r="R30" i="1"/>
  <c r="Q30" i="1"/>
  <c r="Q29" i="1" s="1"/>
  <c r="P30" i="1"/>
  <c r="O30" i="1"/>
  <c r="O29" i="1" s="1"/>
  <c r="N30" i="1"/>
  <c r="M30" i="1"/>
  <c r="M29" i="1" s="1"/>
  <c r="L30" i="1"/>
  <c r="K30" i="1"/>
  <c r="K29" i="1" s="1"/>
  <c r="J30" i="1"/>
  <c r="I30" i="1"/>
  <c r="I29" i="1" s="1"/>
  <c r="H30" i="1"/>
  <c r="G30" i="1"/>
  <c r="F30" i="1" s="1"/>
  <c r="Z29" i="1"/>
  <c r="R29" i="1"/>
  <c r="P29" i="1"/>
  <c r="N29" i="1"/>
  <c r="L29" i="1"/>
  <c r="J29" i="1"/>
  <c r="H29" i="1"/>
  <c r="R28" i="1"/>
  <c r="Q28" i="1"/>
  <c r="P28" i="1"/>
  <c r="O28" i="1"/>
  <c r="N28" i="1"/>
  <c r="M28" i="1"/>
  <c r="L28" i="1"/>
  <c r="K28" i="1"/>
  <c r="J28" i="1"/>
  <c r="I28" i="1"/>
  <c r="H28" i="1"/>
  <c r="G28" i="1"/>
  <c r="Z27" i="1"/>
  <c r="R27" i="1"/>
  <c r="Q27" i="1"/>
  <c r="Q26" i="1" s="1"/>
  <c r="P27" i="1"/>
  <c r="O27" i="1"/>
  <c r="O26" i="1" s="1"/>
  <c r="N27" i="1"/>
  <c r="M27" i="1"/>
  <c r="M26" i="1" s="1"/>
  <c r="L27" i="1"/>
  <c r="K27" i="1"/>
  <c r="K26" i="1" s="1"/>
  <c r="J27" i="1"/>
  <c r="I27" i="1"/>
  <c r="I26" i="1" s="1"/>
  <c r="H27" i="1"/>
  <c r="G27" i="1"/>
  <c r="R26" i="1"/>
  <c r="P26" i="1"/>
  <c r="N26" i="1"/>
  <c r="L26" i="1"/>
  <c r="J26" i="1"/>
  <c r="H26" i="1"/>
  <c r="R25" i="1"/>
  <c r="Q25" i="1"/>
  <c r="F25" i="1" s="1"/>
  <c r="F24" i="1"/>
  <c r="AA24" i="1" s="1"/>
  <c r="AA23" i="1"/>
  <c r="F23" i="1"/>
  <c r="AI23" i="1" s="1"/>
  <c r="F22" i="1"/>
  <c r="AA22" i="1" s="1"/>
  <c r="F21" i="1"/>
  <c r="AI21" i="1" s="1"/>
  <c r="F20" i="1"/>
  <c r="AA20" i="1" s="1"/>
  <c r="AA19" i="1"/>
  <c r="F19" i="1"/>
  <c r="AI19" i="1" s="1"/>
  <c r="F18" i="1"/>
  <c r="AA18" i="1" s="1"/>
  <c r="Z17" i="1"/>
  <c r="R17" i="1"/>
  <c r="Q17" i="1"/>
  <c r="P17" i="1"/>
  <c r="O17" i="1"/>
  <c r="N17" i="1"/>
  <c r="M17" i="1"/>
  <c r="L17" i="1"/>
  <c r="K17" i="1"/>
  <c r="J17" i="1"/>
  <c r="I17" i="1"/>
  <c r="H17" i="1"/>
  <c r="G17" i="1"/>
  <c r="AI38" i="1" l="1"/>
  <c r="F35" i="1"/>
  <c r="AA35" i="1" s="1"/>
  <c r="AA21" i="1"/>
  <c r="F28" i="1"/>
  <c r="AA45" i="1"/>
  <c r="AA66" i="1"/>
  <c r="H92" i="1"/>
  <c r="H70" i="1" s="1"/>
  <c r="J92" i="1"/>
  <c r="L92" i="1"/>
  <c r="L70" i="1" s="1"/>
  <c r="P92" i="1"/>
  <c r="P70" i="1" s="1"/>
  <c r="R92" i="1"/>
  <c r="M92" i="1"/>
  <c r="M70" i="1" s="1"/>
  <c r="AA101" i="1"/>
  <c r="AA105" i="1"/>
  <c r="AA109" i="1"/>
  <c r="AA113" i="1"/>
  <c r="AA128" i="1"/>
  <c r="AA132" i="1"/>
  <c r="AA134" i="1"/>
  <c r="AI135" i="1"/>
  <c r="AA136" i="1"/>
  <c r="AI137" i="1"/>
  <c r="AI152" i="1"/>
  <c r="G164" i="1"/>
  <c r="I164" i="1"/>
  <c r="K164" i="1"/>
  <c r="M164" i="1"/>
  <c r="M124" i="1" s="1"/>
  <c r="O164" i="1"/>
  <c r="Q164" i="1"/>
  <c r="AI177" i="1"/>
  <c r="AI179" i="1"/>
  <c r="J181" i="1"/>
  <c r="L181" i="1"/>
  <c r="N181" i="1"/>
  <c r="P181" i="1"/>
  <c r="R181" i="1"/>
  <c r="G195" i="1"/>
  <c r="I195" i="1"/>
  <c r="K195" i="1"/>
  <c r="M195" i="1"/>
  <c r="O195" i="1"/>
  <c r="Q195" i="1"/>
  <c r="AA39" i="1"/>
  <c r="H46" i="1"/>
  <c r="J46" i="1"/>
  <c r="J16" i="1" s="1"/>
  <c r="L46" i="1"/>
  <c r="N46" i="1"/>
  <c r="N16" i="1" s="1"/>
  <c r="P46" i="1"/>
  <c r="R46" i="1"/>
  <c r="R16" i="1" s="1"/>
  <c r="AA52" i="1"/>
  <c r="F58" i="1"/>
  <c r="I57" i="1"/>
  <c r="K57" i="1"/>
  <c r="O57" i="1"/>
  <c r="Q57" i="1"/>
  <c r="AA60" i="1"/>
  <c r="F62" i="1"/>
  <c r="M57" i="1"/>
  <c r="AA68" i="1"/>
  <c r="F76" i="1"/>
  <c r="AA76" i="1" s="1"/>
  <c r="AA79" i="1"/>
  <c r="AI80" i="1"/>
  <c r="AA81" i="1"/>
  <c r="AI82" i="1"/>
  <c r="AA83" i="1"/>
  <c r="AI84" i="1"/>
  <c r="AA85" i="1"/>
  <c r="AI86" i="1"/>
  <c r="AA87" i="1"/>
  <c r="O92" i="1"/>
  <c r="O70" i="1" s="1"/>
  <c r="AA103" i="1"/>
  <c r="AA107" i="1"/>
  <c r="AA111" i="1"/>
  <c r="O120" i="1"/>
  <c r="AA126" i="1"/>
  <c r="AA130" i="1"/>
  <c r="R143" i="1"/>
  <c r="AA152" i="1"/>
  <c r="F160" i="1"/>
  <c r="AH160" i="1" s="1"/>
  <c r="AA161" i="1"/>
  <c r="AI176" i="1"/>
  <c r="AA177" i="1"/>
  <c r="AI178" i="1"/>
  <c r="AA179" i="1"/>
  <c r="AI180" i="1"/>
  <c r="G182" i="1"/>
  <c r="G181" i="1" s="1"/>
  <c r="H188" i="1"/>
  <c r="AH197" i="1"/>
  <c r="AI203" i="1"/>
  <c r="AA203" i="1"/>
  <c r="AI210" i="1"/>
  <c r="F206" i="1"/>
  <c r="AH206" i="1" s="1"/>
  <c r="AA319" i="1"/>
  <c r="F318" i="1"/>
  <c r="AH202" i="1"/>
  <c r="K205" i="1"/>
  <c r="K204" i="1" s="1"/>
  <c r="M205" i="1"/>
  <c r="M204" i="1" s="1"/>
  <c r="G230" i="1"/>
  <c r="I230" i="1"/>
  <c r="K230" i="1"/>
  <c r="M230" i="1"/>
  <c r="O230" i="1"/>
  <c r="AA247" i="1"/>
  <c r="AH249" i="1"/>
  <c r="AA250" i="1"/>
  <c r="AH253" i="1"/>
  <c r="AH257" i="1"/>
  <c r="AA259" i="1"/>
  <c r="AA261" i="1"/>
  <c r="AA263" i="1"/>
  <c r="G270" i="1"/>
  <c r="I270" i="1"/>
  <c r="I245" i="1" s="1"/>
  <c r="I244" i="1" s="1"/>
  <c r="K270" i="1"/>
  <c r="M270" i="1"/>
  <c r="M245" i="1" s="1"/>
  <c r="M244" i="1" s="1"/>
  <c r="O270" i="1"/>
  <c r="Q270" i="1"/>
  <c r="Q245" i="1" s="1"/>
  <c r="Q244" i="1" s="1"/>
  <c r="H270" i="1"/>
  <c r="J270" i="1"/>
  <c r="N270" i="1"/>
  <c r="N245" i="1" s="1"/>
  <c r="N244" i="1" s="1"/>
  <c r="P270" i="1"/>
  <c r="R270" i="1"/>
  <c r="AI282" i="1"/>
  <c r="AI283" i="1"/>
  <c r="AI284" i="1"/>
  <c r="AI285" i="1"/>
  <c r="I278" i="1"/>
  <c r="I277" i="1" s="1"/>
  <c r="M278" i="1"/>
  <c r="M277" i="1" s="1"/>
  <c r="Q278" i="1"/>
  <c r="Q277" i="1" s="1"/>
  <c r="AA286" i="1"/>
  <c r="H278" i="1"/>
  <c r="H277" i="1" s="1"/>
  <c r="J278" i="1"/>
  <c r="J277" i="1" s="1"/>
  <c r="L278" i="1"/>
  <c r="L277" i="1" s="1"/>
  <c r="N278" i="1"/>
  <c r="N277" i="1" s="1"/>
  <c r="P278" i="1"/>
  <c r="P277" i="1" s="1"/>
  <c r="R278" i="1"/>
  <c r="R277" i="1" s="1"/>
  <c r="F291" i="1"/>
  <c r="AH291" i="1" s="1"/>
  <c r="AA292" i="1"/>
  <c r="F297" i="1"/>
  <c r="AA298" i="1"/>
  <c r="AI313" i="1"/>
  <c r="AA314" i="1"/>
  <c r="AI315" i="1"/>
  <c r="AA316" i="1"/>
  <c r="AH319" i="1"/>
  <c r="I317" i="1"/>
  <c r="I299" i="1" s="1"/>
  <c r="M317" i="1"/>
  <c r="M299" i="1" s="1"/>
  <c r="Q317" i="1"/>
  <c r="Q299" i="1" s="1"/>
  <c r="AH321" i="1"/>
  <c r="Z323" i="1"/>
  <c r="AA325" i="1"/>
  <c r="AA220" i="1"/>
  <c r="AA222" i="1"/>
  <c r="AH224" i="1"/>
  <c r="AH226" i="1"/>
  <c r="Q231" i="1"/>
  <c r="Q230" i="1" s="1"/>
  <c r="AA235" i="1"/>
  <c r="AH236" i="1"/>
  <c r="AA237" i="1"/>
  <c r="AA239" i="1"/>
  <c r="AH240" i="1"/>
  <c r="AI250" i="1"/>
  <c r="AA252" i="1"/>
  <c r="AH255" i="1"/>
  <c r="AA260" i="1"/>
  <c r="AI261" i="1"/>
  <c r="AA262" i="1"/>
  <c r="AI263" i="1"/>
  <c r="AA264" i="1"/>
  <c r="AA274" i="1"/>
  <c r="AA291" i="1"/>
  <c r="AI298" i="1"/>
  <c r="L299" i="1"/>
  <c r="H299" i="1"/>
  <c r="P299" i="1"/>
  <c r="AA303" i="1"/>
  <c r="AH304" i="1"/>
  <c r="AA305" i="1"/>
  <c r="AA307" i="1"/>
  <c r="AH308" i="1"/>
  <c r="AA309" i="1"/>
  <c r="AA311" i="1"/>
  <c r="AH312" i="1"/>
  <c r="AA313" i="1"/>
  <c r="AI314" i="1"/>
  <c r="AA315" i="1"/>
  <c r="G317" i="1"/>
  <c r="K317" i="1"/>
  <c r="O317" i="1"/>
  <c r="AI325" i="1"/>
  <c r="AI28" i="1"/>
  <c r="F27" i="1"/>
  <c r="AA28" i="1"/>
  <c r="AA63" i="1"/>
  <c r="AI65" i="1"/>
  <c r="AA65" i="1"/>
  <c r="F63" i="1"/>
  <c r="AI25" i="1"/>
  <c r="AA25" i="1"/>
  <c r="AA27" i="1"/>
  <c r="AI30" i="1"/>
  <c r="AA30" i="1"/>
  <c r="F29" i="1"/>
  <c r="AA29" i="1" s="1"/>
  <c r="AI32" i="1"/>
  <c r="AA32" i="1"/>
  <c r="F31" i="1"/>
  <c r="AA31" i="1" s="1"/>
  <c r="H16" i="1"/>
  <c r="L16" i="1"/>
  <c r="P16" i="1"/>
  <c r="AI58" i="1"/>
  <c r="AA58" i="1"/>
  <c r="F57" i="1"/>
  <c r="I56" i="1"/>
  <c r="I16" i="1" s="1"/>
  <c r="K56" i="1"/>
  <c r="K16" i="1" s="1"/>
  <c r="O56" i="1"/>
  <c r="O16" i="1" s="1"/>
  <c r="Q56" i="1"/>
  <c r="Q16" i="1" s="1"/>
  <c r="AI62" i="1"/>
  <c r="AA62" i="1"/>
  <c r="M56" i="1"/>
  <c r="M16" i="1" s="1"/>
  <c r="J70" i="1"/>
  <c r="AI18" i="1"/>
  <c r="AI20" i="1"/>
  <c r="AI22" i="1"/>
  <c r="AI24" i="1"/>
  <c r="AA38" i="1"/>
  <c r="AI43" i="1"/>
  <c r="AA47" i="1"/>
  <c r="AI51" i="1"/>
  <c r="AI53" i="1"/>
  <c r="AI55" i="1"/>
  <c r="AI59" i="1"/>
  <c r="AI61" i="1"/>
  <c r="AI64" i="1"/>
  <c r="AI67" i="1"/>
  <c r="AI73" i="1"/>
  <c r="AI78" i="1"/>
  <c r="F93" i="1"/>
  <c r="G92" i="1"/>
  <c r="AA100" i="1"/>
  <c r="F99" i="1"/>
  <c r="AI114" i="1"/>
  <c r="AA114" i="1"/>
  <c r="F121" i="1"/>
  <c r="I120" i="1"/>
  <c r="AI150" i="1"/>
  <c r="AI155" i="1"/>
  <c r="AI159" i="1"/>
  <c r="AA162" i="1"/>
  <c r="AI166" i="1"/>
  <c r="AI170" i="1"/>
  <c r="AI174" i="1"/>
  <c r="AI185" i="1"/>
  <c r="AI187" i="1"/>
  <c r="AA192" i="1"/>
  <c r="AH192" i="1"/>
  <c r="AI194" i="1"/>
  <c r="AA194" i="1"/>
  <c r="AA196" i="1"/>
  <c r="Z195" i="1"/>
  <c r="AA199" i="1"/>
  <c r="F198" i="1"/>
  <c r="AA198" i="1" s="1"/>
  <c r="AI199" i="1"/>
  <c r="F201" i="1"/>
  <c r="L200" i="1"/>
  <c r="L195" i="1" s="1"/>
  <c r="AA206" i="1"/>
  <c r="AA209" i="1"/>
  <c r="AH209" i="1"/>
  <c r="F214" i="1"/>
  <c r="O211" i="1"/>
  <c r="O205" i="1" s="1"/>
  <c r="O204" i="1" s="1"/>
  <c r="F217" i="1"/>
  <c r="J215" i="1"/>
  <c r="J205" i="1" s="1"/>
  <c r="J204" i="1" s="1"/>
  <c r="J124" i="1" s="1"/>
  <c r="AA221" i="1"/>
  <c r="F219" i="1"/>
  <c r="AH219" i="1" s="1"/>
  <c r="AI221" i="1"/>
  <c r="F228" i="1"/>
  <c r="J227" i="1"/>
  <c r="AA232" i="1"/>
  <c r="F231" i="1"/>
  <c r="AI232" i="1"/>
  <c r="AI238" i="1"/>
  <c r="AA248" i="1"/>
  <c r="AI248" i="1"/>
  <c r="F256" i="1"/>
  <c r="K254" i="1"/>
  <c r="AI268" i="1"/>
  <c r="AA272" i="1"/>
  <c r="F271" i="1"/>
  <c r="AI272" i="1"/>
  <c r="AA273" i="1"/>
  <c r="Z270" i="1"/>
  <c r="AA275" i="1"/>
  <c r="AI306" i="1"/>
  <c r="AA323" i="1"/>
  <c r="Z322" i="1"/>
  <c r="AA322" i="1" s="1"/>
  <c r="F17" i="1"/>
  <c r="Z26" i="1"/>
  <c r="G29" i="1"/>
  <c r="G31" i="1"/>
  <c r="G26" i="1" s="1"/>
  <c r="AA33" i="1"/>
  <c r="AA34" i="1"/>
  <c r="AA36" i="1"/>
  <c r="AA37" i="1"/>
  <c r="Z40" i="1"/>
  <c r="F42" i="1"/>
  <c r="F41" i="1" s="1"/>
  <c r="F40" i="1" s="1"/>
  <c r="AH41" i="1" s="1"/>
  <c r="F54" i="1"/>
  <c r="AA54" i="1" s="1"/>
  <c r="G57" i="1"/>
  <c r="G56" i="1" s="1"/>
  <c r="G63" i="1"/>
  <c r="Z71" i="1"/>
  <c r="F72" i="1"/>
  <c r="F74" i="1"/>
  <c r="AA74" i="1" s="1"/>
  <c r="AA75" i="1"/>
  <c r="F88" i="1"/>
  <c r="AA88" i="1" s="1"/>
  <c r="R88" i="1"/>
  <c r="R70" i="1" s="1"/>
  <c r="AI89" i="1"/>
  <c r="AI91" i="1"/>
  <c r="F90" i="1"/>
  <c r="AA90" i="1" s="1"/>
  <c r="AA91" i="1"/>
  <c r="F94" i="1"/>
  <c r="AA94" i="1" s="1"/>
  <c r="Z92" i="1"/>
  <c r="AI95" i="1"/>
  <c r="F98" i="1"/>
  <c r="I97" i="1"/>
  <c r="I92" i="1" s="1"/>
  <c r="I70" i="1" s="1"/>
  <c r="AA99" i="1"/>
  <c r="AI100" i="1"/>
  <c r="AI102" i="1"/>
  <c r="AI104" i="1"/>
  <c r="AI106" i="1"/>
  <c r="AI108" i="1"/>
  <c r="AI110" i="1"/>
  <c r="AI112" i="1"/>
  <c r="AH114" i="1"/>
  <c r="F118" i="1"/>
  <c r="G117" i="1"/>
  <c r="AA122" i="1"/>
  <c r="AI123" i="1"/>
  <c r="F125" i="1"/>
  <c r="N124" i="1"/>
  <c r="N69" i="1" s="1"/>
  <c r="N15" i="1" s="1"/>
  <c r="N14" i="1" s="1"/>
  <c r="N13" i="1" s="1"/>
  <c r="R124" i="1"/>
  <c r="AI127" i="1"/>
  <c r="AI129" i="1"/>
  <c r="AI131" i="1"/>
  <c r="AA149" i="1"/>
  <c r="AH149" i="1"/>
  <c r="AH150" i="1"/>
  <c r="F151" i="1"/>
  <c r="AH151" i="1" s="1"/>
  <c r="O143" i="1"/>
  <c r="O124" i="1" s="1"/>
  <c r="AI153" i="1"/>
  <c r="AH155" i="1"/>
  <c r="AI157" i="1"/>
  <c r="AH159" i="1"/>
  <c r="AA163" i="1"/>
  <c r="AH163" i="1"/>
  <c r="F165" i="1"/>
  <c r="AH166" i="1"/>
  <c r="AI168" i="1"/>
  <c r="AH170" i="1"/>
  <c r="AI172" i="1"/>
  <c r="AH174" i="1"/>
  <c r="AI184" i="1"/>
  <c r="AA184" i="1"/>
  <c r="AH184" i="1"/>
  <c r="AH185" i="1"/>
  <c r="F186" i="1"/>
  <c r="H182" i="1"/>
  <c r="H181" i="1" s="1"/>
  <c r="H124" i="1" s="1"/>
  <c r="AH187" i="1"/>
  <c r="AI190" i="1"/>
  <c r="AA190" i="1"/>
  <c r="F188" i="1"/>
  <c r="AH188" i="1" s="1"/>
  <c r="AA191" i="1"/>
  <c r="AH191" i="1"/>
  <c r="F193" i="1"/>
  <c r="AH194" i="1"/>
  <c r="AI197" i="1"/>
  <c r="AH199" i="1"/>
  <c r="AH201" i="1"/>
  <c r="AI202" i="1"/>
  <c r="AI207" i="1"/>
  <c r="AA207" i="1"/>
  <c r="AA208" i="1"/>
  <c r="AH208" i="1"/>
  <c r="AA210" i="1"/>
  <c r="AH210" i="1"/>
  <c r="Z205" i="1"/>
  <c r="AI213" i="1"/>
  <c r="AH214" i="1"/>
  <c r="G205" i="1"/>
  <c r="G204" i="1" s="1"/>
  <c r="G124" i="1" s="1"/>
  <c r="I205" i="1"/>
  <c r="I204" i="1" s="1"/>
  <c r="I124" i="1" s="1"/>
  <c r="Q205" i="1"/>
  <c r="Q204" i="1" s="1"/>
  <c r="Q124" i="1" s="1"/>
  <c r="F216" i="1"/>
  <c r="P215" i="1"/>
  <c r="P205" i="1" s="1"/>
  <c r="P204" i="1" s="1"/>
  <c r="P124" i="1" s="1"/>
  <c r="P69" i="1" s="1"/>
  <c r="AH217" i="1"/>
  <c r="AI218" i="1"/>
  <c r="AH221" i="1"/>
  <c r="AI223" i="1"/>
  <c r="AA223" i="1"/>
  <c r="AI224" i="1"/>
  <c r="AA226" i="1"/>
  <c r="F225" i="1"/>
  <c r="AI226" i="1"/>
  <c r="F229" i="1"/>
  <c r="L227" i="1"/>
  <c r="AH232" i="1"/>
  <c r="AA234" i="1"/>
  <c r="F233" i="1"/>
  <c r="AI234" i="1"/>
  <c r="Z241" i="1"/>
  <c r="AA243" i="1"/>
  <c r="F242" i="1"/>
  <c r="AI243" i="1"/>
  <c r="K245" i="1"/>
  <c r="K244" i="1" s="1"/>
  <c r="O245" i="1"/>
  <c r="O244" i="1" s="1"/>
  <c r="Z245" i="1"/>
  <c r="L245" i="1"/>
  <c r="L244" i="1" s="1"/>
  <c r="P245" i="1"/>
  <c r="P244" i="1" s="1"/>
  <c r="R245" i="1"/>
  <c r="R244" i="1" s="1"/>
  <c r="AI258" i="1"/>
  <c r="G245" i="1"/>
  <c r="G244" i="1" s="1"/>
  <c r="F265" i="1"/>
  <c r="AH288" i="1"/>
  <c r="AA297" i="1"/>
  <c r="Z296" i="1"/>
  <c r="F301" i="1"/>
  <c r="AH302" i="1"/>
  <c r="AA302" i="1"/>
  <c r="Z301" i="1"/>
  <c r="AH234" i="1"/>
  <c r="AI236" i="1"/>
  <c r="AH238" i="1"/>
  <c r="AI240" i="1"/>
  <c r="AH243" i="1"/>
  <c r="AH248" i="1"/>
  <c r="AI249" i="1"/>
  <c r="F251" i="1"/>
  <c r="AH251" i="1" s="1"/>
  <c r="H246" i="1"/>
  <c r="H245" i="1" s="1"/>
  <c r="H244" i="1" s="1"/>
  <c r="J245" i="1"/>
  <c r="J244" i="1" s="1"/>
  <c r="AI255" i="1"/>
  <c r="AI257" i="1"/>
  <c r="AH258" i="1"/>
  <c r="AI266" i="1"/>
  <c r="AH268" i="1"/>
  <c r="AH272" i="1"/>
  <c r="AI276" i="1"/>
  <c r="AI280" i="1"/>
  <c r="AA280" i="1"/>
  <c r="F279" i="1"/>
  <c r="AA279" i="1" s="1"/>
  <c r="AI281" i="1"/>
  <c r="AA281" i="1"/>
  <c r="AA294" i="1"/>
  <c r="F293" i="1"/>
  <c r="F278" i="1" s="1"/>
  <c r="AI294" i="1"/>
  <c r="G299" i="1"/>
  <c r="K299" i="1"/>
  <c r="O299" i="1"/>
  <c r="AI310" i="1"/>
  <c r="AH318" i="1"/>
  <c r="AA318" i="1"/>
  <c r="AA288" i="1"/>
  <c r="AI290" i="1"/>
  <c r="AH294" i="1"/>
  <c r="AI304" i="1"/>
  <c r="AH306" i="1"/>
  <c r="AI308" i="1"/>
  <c r="AH310" i="1"/>
  <c r="AI312" i="1"/>
  <c r="AI319" i="1"/>
  <c r="AA321" i="1"/>
  <c r="F320" i="1"/>
  <c r="AI321" i="1"/>
  <c r="AG303" i="1"/>
  <c r="AH303" i="1" s="1"/>
  <c r="M69" i="1" l="1"/>
  <c r="AA188" i="1"/>
  <c r="H69" i="1"/>
  <c r="O69" i="1"/>
  <c r="R69" i="1"/>
  <c r="R15" i="1" s="1"/>
  <c r="R14" i="1" s="1"/>
  <c r="R13" i="1" s="1"/>
  <c r="F246" i="1"/>
  <c r="AA246" i="1" s="1"/>
  <c r="L124" i="1"/>
  <c r="L69" i="1" s="1"/>
  <c r="M15" i="1"/>
  <c r="M14" i="1" s="1"/>
  <c r="M13" i="1" s="1"/>
  <c r="K124" i="1"/>
  <c r="K69" i="1" s="1"/>
  <c r="Q69" i="1"/>
  <c r="G16" i="1"/>
  <c r="G15" i="1" s="1"/>
  <c r="G14" i="1" s="1"/>
  <c r="G13" i="1" s="1"/>
  <c r="G70" i="1"/>
  <c r="G69" i="1" s="1"/>
  <c r="K15" i="1"/>
  <c r="K14" i="1" s="1"/>
  <c r="K13" i="1" s="1"/>
  <c r="AH297" i="1"/>
  <c r="F296" i="1"/>
  <c r="AA160" i="1"/>
  <c r="I69" i="1"/>
  <c r="O15" i="1"/>
  <c r="O14" i="1" s="1"/>
  <c r="O13" i="1" s="1"/>
  <c r="I15" i="1"/>
  <c r="I14" i="1" s="1"/>
  <c r="I13" i="1" s="1"/>
  <c r="AH320" i="1"/>
  <c r="AA320" i="1"/>
  <c r="F317" i="1"/>
  <c r="AH301" i="1"/>
  <c r="F300" i="1"/>
  <c r="F277" i="1"/>
  <c r="AH278" i="1"/>
  <c r="AH265" i="1"/>
  <c r="AA265" i="1"/>
  <c r="F241" i="1"/>
  <c r="AH241" i="1" s="1"/>
  <c r="AH242" i="1"/>
  <c r="AA241" i="1"/>
  <c r="Z230" i="1"/>
  <c r="AH233" i="1"/>
  <c r="AA233" i="1"/>
  <c r="AA229" i="1"/>
  <c r="AI229" i="1"/>
  <c r="AA216" i="1"/>
  <c r="F215" i="1"/>
  <c r="AI216" i="1"/>
  <c r="AG216" i="1"/>
  <c r="AH216" i="1" s="1"/>
  <c r="AH193" i="1"/>
  <c r="AA193" i="1"/>
  <c r="AA98" i="1"/>
  <c r="AI98" i="1"/>
  <c r="F97" i="1"/>
  <c r="AA97" i="1" s="1"/>
  <c r="Z70" i="1"/>
  <c r="AA278" i="1"/>
  <c r="AH271" i="1"/>
  <c r="AA271" i="1"/>
  <c r="F270" i="1"/>
  <c r="AH270" i="1" s="1"/>
  <c r="AI256" i="1"/>
  <c r="F254" i="1"/>
  <c r="AH256" i="1"/>
  <c r="AA256" i="1"/>
  <c r="AH246" i="1"/>
  <c r="AA242" i="1"/>
  <c r="AH229" i="1"/>
  <c r="AA228" i="1"/>
  <c r="F227" i="1"/>
  <c r="AI228" i="1"/>
  <c r="AA201" i="1"/>
  <c r="F200" i="1"/>
  <c r="AI201" i="1"/>
  <c r="AI93" i="1"/>
  <c r="AA93" i="1"/>
  <c r="F92" i="1"/>
  <c r="AA92" i="1" s="1"/>
  <c r="AA42" i="1"/>
  <c r="Q15" i="1"/>
  <c r="Q14" i="1" s="1"/>
  <c r="Q13" i="1" s="1"/>
  <c r="AH293" i="1"/>
  <c r="AA293" i="1"/>
  <c r="AA251" i="1"/>
  <c r="AI251" i="1"/>
  <c r="AA301" i="1"/>
  <c r="Z300" i="1"/>
  <c r="AA296" i="1"/>
  <c r="Z295" i="1"/>
  <c r="Z244" i="1"/>
  <c r="AH228" i="1"/>
  <c r="AH225" i="1"/>
  <c r="AA225" i="1"/>
  <c r="Z204" i="1"/>
  <c r="AA186" i="1"/>
  <c r="AI186" i="1"/>
  <c r="F182" i="1"/>
  <c r="AH165" i="1"/>
  <c r="AA165" i="1"/>
  <c r="F164" i="1"/>
  <c r="AA151" i="1"/>
  <c r="AI151" i="1"/>
  <c r="F143" i="1"/>
  <c r="AA143" i="1" s="1"/>
  <c r="AA125" i="1"/>
  <c r="AA118" i="1"/>
  <c r="F117" i="1"/>
  <c r="AA117" i="1" s="1"/>
  <c r="AI118" i="1"/>
  <c r="F71" i="1"/>
  <c r="Z46" i="1"/>
  <c r="AA46" i="1" s="1"/>
  <c r="AA40" i="1"/>
  <c r="F230" i="1"/>
  <c r="AH230" i="1" s="1"/>
  <c r="AH231" i="1"/>
  <c r="AA231" i="1"/>
  <c r="AA219" i="1"/>
  <c r="AA217" i="1"/>
  <c r="AI217" i="1"/>
  <c r="AA214" i="1"/>
  <c r="AI214" i="1"/>
  <c r="F211" i="1"/>
  <c r="AH198" i="1"/>
  <c r="F195" i="1"/>
  <c r="AH195" i="1" s="1"/>
  <c r="Z124" i="1"/>
  <c r="AH186" i="1"/>
  <c r="AI121" i="1"/>
  <c r="F120" i="1"/>
  <c r="AA120" i="1" s="1"/>
  <c r="AA121" i="1"/>
  <c r="AJ14" i="1"/>
  <c r="J69" i="1"/>
  <c r="J15" i="1" s="1"/>
  <c r="J14" i="1" s="1"/>
  <c r="J13" i="1" s="1"/>
  <c r="F56" i="1"/>
  <c r="AA56" i="1" s="1"/>
  <c r="AA57" i="1"/>
  <c r="P15" i="1"/>
  <c r="P14" i="1" s="1"/>
  <c r="P13" i="1" s="1"/>
  <c r="L15" i="1"/>
  <c r="L14" i="1" s="1"/>
  <c r="L13" i="1" s="1"/>
  <c r="H15" i="1"/>
  <c r="H14" i="1" s="1"/>
  <c r="H13" i="1" s="1"/>
  <c r="AA72" i="1"/>
  <c r="AA41" i="1"/>
  <c r="F26" i="1"/>
  <c r="AG27" i="1" s="1"/>
  <c r="AA17" i="1"/>
  <c r="AI326" i="1" l="1"/>
  <c r="AI10" i="1" s="1"/>
  <c r="AH296" i="1"/>
  <c r="F295" i="1"/>
  <c r="AH295" i="1" s="1"/>
  <c r="AH211" i="1"/>
  <c r="F205" i="1"/>
  <c r="AA211" i="1"/>
  <c r="F16" i="1"/>
  <c r="AH164" i="1"/>
  <c r="AA164" i="1"/>
  <c r="AH227" i="1"/>
  <c r="AA227" i="1"/>
  <c r="AH254" i="1"/>
  <c r="AA254" i="1"/>
  <c r="Z16" i="1"/>
  <c r="Z69" i="1"/>
  <c r="AH215" i="1"/>
  <c r="AA215" i="1"/>
  <c r="AA230" i="1"/>
  <c r="F299" i="1"/>
  <c r="AH299" i="1" s="1"/>
  <c r="AH300" i="1"/>
  <c r="AH317" i="1"/>
  <c r="AA317" i="1"/>
  <c r="AA195" i="1"/>
  <c r="AA270" i="1"/>
  <c r="F70" i="1"/>
  <c r="F181" i="1"/>
  <c r="AH182" i="1"/>
  <c r="AA182" i="1"/>
  <c r="AA300" i="1"/>
  <c r="Z299" i="1"/>
  <c r="AA299" i="1" s="1"/>
  <c r="AH200" i="1"/>
  <c r="AA200" i="1"/>
  <c r="F245" i="1"/>
  <c r="AA26" i="1"/>
  <c r="AA71" i="1"/>
  <c r="AH277" i="1"/>
  <c r="AA277" i="1"/>
  <c r="AA295" i="1" l="1"/>
  <c r="F244" i="1"/>
  <c r="AH245" i="1"/>
  <c r="AA245" i="1"/>
  <c r="AA70" i="1"/>
  <c r="AH205" i="1"/>
  <c r="F204" i="1"/>
  <c r="AA205" i="1"/>
  <c r="AH181" i="1"/>
  <c r="AA181" i="1"/>
  <c r="AA16" i="1"/>
  <c r="Z15" i="1"/>
  <c r="Z14" i="1" l="1"/>
  <c r="Z13" i="1" s="1"/>
  <c r="Z11" i="1" s="1"/>
  <c r="AH204" i="1"/>
  <c r="AA204" i="1"/>
  <c r="F124" i="1"/>
  <c r="AH244" i="1"/>
  <c r="AA244" i="1"/>
  <c r="AA124" i="1" l="1"/>
  <c r="F69" i="1"/>
  <c r="F15" i="1" l="1"/>
  <c r="AA69" i="1"/>
  <c r="F14" i="1" l="1"/>
  <c r="AA15" i="1"/>
  <c r="F13" i="1" l="1"/>
  <c r="AI11" i="1" s="1"/>
  <c r="AA11" i="1"/>
</calcChain>
</file>

<file path=xl/sharedStrings.xml><?xml version="1.0" encoding="utf-8"?>
<sst xmlns="http://schemas.openxmlformats.org/spreadsheetml/2006/main" count="854" uniqueCount="632">
  <si>
    <t xml:space="preserve">                                              MUNICIPIO DE PILCAYA GUERRERO</t>
  </si>
  <si>
    <t xml:space="preserve">                                         PRESUPUESTO DE INGRESOS EJERCICIO FISCAL 2020   </t>
  </si>
  <si>
    <t>FUENTE DEL INGRESO</t>
  </si>
  <si>
    <t>IMPORTES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</si>
  <si>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</si>
  <si>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</si>
  <si>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</si>
  <si>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</si>
  <si>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</si>
  <si>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</si>
  <si>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</si>
  <si>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</si>
  <si>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</si>
  <si>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</si>
  <si>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</si>
  <si>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</si>
  <si>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 O T A L E S</t>
  </si>
  <si>
    <t>1</t>
  </si>
  <si>
    <t>UNIDAD ADMINISTRATIVA</t>
  </si>
  <si>
    <t>INGRESOS MUNICIPALES</t>
  </si>
  <si>
    <t>1 1</t>
  </si>
  <si>
    <t>CORRIENTE ( TIPO DE GASTO  1 CORRIENTE, 2 CAPITAL)</t>
  </si>
  <si>
    <t>1 1 1</t>
  </si>
  <si>
    <t>Impuestos</t>
  </si>
  <si>
    <t>1 1 1 1</t>
  </si>
  <si>
    <t>Impuestos sobre los ingresos</t>
  </si>
  <si>
    <t>1 1 1 1 001</t>
  </si>
  <si>
    <t>TESORERIA</t>
  </si>
  <si>
    <t>TEATRO, CIRCO, CARPA Y DIVERSIONES SIMIL</t>
  </si>
  <si>
    <t>1 1 1 1 003</t>
  </si>
  <si>
    <t>EVENTOS TAURINOS</t>
  </si>
  <si>
    <t>1 1 1 1 006</t>
  </si>
  <si>
    <t>BAILES EVENT DE ESPECULACION, C/COBRO DE ENTRADA</t>
  </si>
  <si>
    <t>1 1 1 1 009</t>
  </si>
  <si>
    <t>OTRAS DIVERSIONES O ESPECTACULOS PUB NO</t>
  </si>
  <si>
    <t>1 1 1 1 010</t>
  </si>
  <si>
    <t>BAILES PART NO ESPECULATIVOS DESARROLLAD</t>
  </si>
  <si>
    <t>1 1 1 1 011</t>
  </si>
  <si>
    <t>MAQ VIDEO, JUEGOS MECANICOS, MAQ GOLOSIN</t>
  </si>
  <si>
    <t>1 1 1 1 012</t>
  </si>
  <si>
    <t>JUEGOS MECANICOS PARA NIÑOS POR UNIDAD Y POR ANUALIDAD</t>
  </si>
  <si>
    <t>1 1 1 1 013</t>
  </si>
  <si>
    <t>MAQUINAS DE GOLOSINAS O FUTBOLITOS POR UNIDAD Y POR ANUALIDAD</t>
  </si>
  <si>
    <t>1 1 1 2</t>
  </si>
  <si>
    <t>IMPUESTO PREDIAL</t>
  </si>
  <si>
    <t>1 1 1 2 001</t>
  </si>
  <si>
    <t>PREDIOS URBANOS Y SUB-URBANOS BALDIOS</t>
  </si>
  <si>
    <t>1 1 1 2 001 001</t>
  </si>
  <si>
    <t>URBANOS BALDIOS</t>
  </si>
  <si>
    <t>1 1 1 2 003</t>
  </si>
  <si>
    <t>PREDIOS RUSTICOS BALDIOS</t>
  </si>
  <si>
    <t>1 1 1 2 003 001</t>
  </si>
  <si>
    <t>RUSTICOS BALDIOS</t>
  </si>
  <si>
    <t>1 1 1 2 004</t>
  </si>
  <si>
    <t>PREDIOS URBANOS, SUB-URBANOS Y RUSTICOS</t>
  </si>
  <si>
    <t>1 1 1 2 004 001</t>
  </si>
  <si>
    <t>URBANOS EDIFICADOS DESTINADOS A CASA HABITACION.</t>
  </si>
  <si>
    <t>1 1 1 2 004 002</t>
  </si>
  <si>
    <t>SUB-URBANOS EDIFICADOS DESTINADOS A CASA  HABITACION.</t>
  </si>
  <si>
    <t>1 1 1 2 004 003</t>
  </si>
  <si>
    <t>RUSTICOS EDIFICADOS DESTINADOS A CASA HABITACION.</t>
  </si>
  <si>
    <t>1 1 1 2 008</t>
  </si>
  <si>
    <t>PREDIOS EDIF PROP DE PENSIONADOS Y JUBIL</t>
  </si>
  <si>
    <t>1 1 1 2 008 001</t>
  </si>
  <si>
    <t>PENSIONADOS Y JUBILADOS</t>
  </si>
  <si>
    <t>1 1 1 2 008 002</t>
  </si>
  <si>
    <t>INAPAM</t>
  </si>
  <si>
    <t>1 1 1 2 008 005</t>
  </si>
  <si>
    <t>INSEN</t>
  </si>
  <si>
    <t>1 1 1 2 009</t>
  </si>
  <si>
    <t>DESCUENTO IMPUESTO PREDIAL</t>
  </si>
  <si>
    <t>1 1 1 2 010</t>
  </si>
  <si>
    <t>REZAGOS</t>
  </si>
  <si>
    <t>1 1 1 2 010 001</t>
  </si>
  <si>
    <t>REZAGO PREDIAL</t>
  </si>
  <si>
    <t>REZAGO PREDIAL  GENERAL</t>
  </si>
  <si>
    <t>1 1 1 2 010 001 001</t>
  </si>
  <si>
    <t>REZAGO PREDIAL GENERAL URBANO Y RUSTICO</t>
  </si>
  <si>
    <t>1 1 1 2 011</t>
  </si>
  <si>
    <t>IMPUESTOS SOBRE ADQUISICIONES DE INMUEBLES</t>
  </si>
  <si>
    <t>SOBRE ADQUISICION DE INMUEBLES</t>
  </si>
  <si>
    <t>1 1 1 7</t>
  </si>
  <si>
    <t>ACCESORIOS DE IMPUESTOS</t>
  </si>
  <si>
    <t>1 1 1 7 001</t>
  </si>
  <si>
    <t>RECARGOS</t>
  </si>
  <si>
    <t>1 1 1 7 001 001</t>
  </si>
  <si>
    <t>RECARGO PREDIAL</t>
  </si>
  <si>
    <t>1 1 1 7 001 002</t>
  </si>
  <si>
    <t>RECARGOS AGUA POTABLE</t>
  </si>
  <si>
    <t>1 1 1 7 001 003</t>
  </si>
  <si>
    <t>RECARGOS DE OSARIO GUARDA Y CUSTODIA</t>
  </si>
  <si>
    <t>1 1 1 7 001 004</t>
  </si>
  <si>
    <t>RECARGOS DEPTO. DE COMERCIO Y ESPECT. PUB.</t>
  </si>
  <si>
    <t>1 1 1 7 001 005</t>
  </si>
  <si>
    <t>RECARGOS SERV. MPAL. DE SALUD</t>
  </si>
  <si>
    <t>1 1 1 7 001 006</t>
  </si>
  <si>
    <t>OTROS RECARGOS</t>
  </si>
  <si>
    <t>1 1 1 7 002 002</t>
  </si>
  <si>
    <t>REZAGO AGUA</t>
  </si>
  <si>
    <t>1 1 1 7 002 002 008</t>
  </si>
  <si>
    <t>SERVS. GENERALES</t>
  </si>
  <si>
    <t>REZAGO AGUA POTABLE GENERAL</t>
  </si>
  <si>
    <t>1 1 1 8</t>
  </si>
  <si>
    <t>OTROS IMPUESTOS</t>
  </si>
  <si>
    <t>1 1 1 8 001</t>
  </si>
  <si>
    <t>APLICADOS A IMPTO PREDIAL Y DERECHOS POR SERV. CATASTRALES</t>
  </si>
  <si>
    <t>1 1 1 8 001 001</t>
  </si>
  <si>
    <t>15% PRO-EDUCACION Y ASISTENCIA SOCIAL</t>
  </si>
  <si>
    <t>1 1 1 8 001 002</t>
  </si>
  <si>
    <t>15% PRO-CAMINOS</t>
  </si>
  <si>
    <t>1 1 1 8 001 003</t>
  </si>
  <si>
    <t>15% PRO-TURISMO</t>
  </si>
  <si>
    <t>1 1 1 8 001 004</t>
  </si>
  <si>
    <t>15% PRO-EDUCACION Y ASISTENCIA SOCIAL(REZAGO)</t>
  </si>
  <si>
    <t>1 1 1 8 001 005</t>
  </si>
  <si>
    <t xml:space="preserve">15% PRO-CAMINOS REZAGO
</t>
  </si>
  <si>
    <t>1 1 1 8 002</t>
  </si>
  <si>
    <t>APLICADOS A DERECHOS POR SERV DE TRANSIT</t>
  </si>
  <si>
    <t>1 1 1 8 002 001</t>
  </si>
  <si>
    <t>1 1 1 8 002 002</t>
  </si>
  <si>
    <t>15% PRO-RECUPERACION EQUILIBRIO ECOLOGIC</t>
  </si>
  <si>
    <t>1 1 1 8 003</t>
  </si>
  <si>
    <t>APLICADOS A DERECHOS POR SERV DE AGUA PO</t>
  </si>
  <si>
    <t>1 1 1 8 003 001</t>
  </si>
  <si>
    <t>1 1 1 8 003 002</t>
  </si>
  <si>
    <t>15% PRO-REDES</t>
  </si>
  <si>
    <t>1 1 4</t>
  </si>
  <si>
    <t>DERECHOS</t>
  </si>
  <si>
    <t>1 1 4 1</t>
  </si>
  <si>
    <t>DERECHOS POR EL USO, GOCE, APROVECHAMIENTO O EXPLOTACION DE BIENES DE DOMINIO PUBLICO</t>
  </si>
  <si>
    <t>1 1 4 1 001</t>
  </si>
  <si>
    <t>POR COOPERACION PARA OBRAS PUBLICAS</t>
  </si>
  <si>
    <t>1 1 4 1 001 001</t>
  </si>
  <si>
    <t>PARA LA CONSTRUCCION</t>
  </si>
  <si>
    <t>1 1 4 1 001 001 001</t>
  </si>
  <si>
    <t>OBRAS PUBLICAS</t>
  </si>
  <si>
    <t>POR INSTALACION DE TUBERIA DE DISTRIBUCION DE AGUA POTABLE POR METRO LINEAL</t>
  </si>
  <si>
    <t>1 1 4 1 001 003</t>
  </si>
  <si>
    <t>PARA LA REPARACION</t>
  </si>
  <si>
    <t>1 1 4 1 001 003 003</t>
  </si>
  <si>
    <t>POR TOMAS DOMICILIARIAS</t>
  </si>
  <si>
    <t>1 1 4 1 002</t>
  </si>
  <si>
    <t>LICENCIAS PARA CONSTRUCCION DE EDIFICIOS O CASAS HABITACION, RESTAURACION O REPARACION, URBANIZACION, FRACCIONAMIENTO, LOTIFICACION, RELOTIFICACION, FUSION Y SUB-DIVISION</t>
  </si>
  <si>
    <t>1 1 4 1 002 001</t>
  </si>
  <si>
    <t>LICENCIA DE CONSTRUCCION ECONOMICO, CASA HABITACION</t>
  </si>
  <si>
    <t>1 1 4 1 002 027</t>
  </si>
  <si>
    <t>POR EXPEDICION DE LICENCIA DE FRACCIONAMIENTO Y OBRAS DE URBANIZACION, EN ZONA A (COMERCIAL) POR M2</t>
  </si>
  <si>
    <t>1 1 4 1 002 031</t>
  </si>
  <si>
    <t>POR EL PERMISO PARA EJECUTAR RUPTURAS EN LA VIA PUBLICA, EMPEDRADO</t>
  </si>
  <si>
    <t>1 1 4 1 002 034</t>
  </si>
  <si>
    <t>POR EL PERMISO PARA EJECUTAR RUPTURAS EN LA VIA PUBLICA, CONCRETO HIDRAULICO</t>
  </si>
  <si>
    <t>1 1 4 1 002 038</t>
  </si>
  <si>
    <t>AUTORIZACION PARA FUSION DE PREDIOS URBANOS, EN ZONA A (COMERCIAL) POR M2</t>
  </si>
  <si>
    <t>1 1 4 1 002 047</t>
  </si>
  <si>
    <t>AUTORIZACION PARA DIVISION Y SUBDIVISION, LOTIFICACION DE PREDIOS RUSTICOS M2</t>
  </si>
  <si>
    <t>1 1 4 1 002 052</t>
  </si>
  <si>
    <t>POR LICENCIA DE CONSTRUCCION DE BOVEDA EN PANTEONES</t>
  </si>
  <si>
    <t>1 1 4 1 002 054</t>
  </si>
  <si>
    <t>POR LICENCIA DE COLOCACION DE CRIPTAS EN PANTEONES</t>
  </si>
  <si>
    <t>1 1 4 1 002 056</t>
  </si>
  <si>
    <t>POR LICENCIA DE CIRCULACION DE LOTES EN PANTEONES</t>
  </si>
  <si>
    <t>1 1 4 1 002 057</t>
  </si>
  <si>
    <t>POR LICENCIA DE CONSTRUCCION DE CAPILLAS EN PANTEONES</t>
  </si>
  <si>
    <t>1 1 4 1 002 059</t>
  </si>
  <si>
    <t>POR LA EXPEDICION DE LICENCIAS PARA CONSTRUCCION DE OBRAS</t>
  </si>
  <si>
    <t>1 1 4 1 003</t>
  </si>
  <si>
    <t>LICENCIAS PARA EL ALINEAMIENTO DE EDIFICIOS O CASAS HABITACION Y DE PREDIOS</t>
  </si>
  <si>
    <t>1 1 4 1 003 001</t>
  </si>
  <si>
    <t>POR EL ALINEAMIENTO EN ZONA URBANA COMERCIAL</t>
  </si>
  <si>
    <t>1 1 4 1 004</t>
  </si>
  <si>
    <t>LICENCIAS PARA LA DEMOLICION DE EDIFICIOS O CASAS HABITACION</t>
  </si>
  <si>
    <t>1 1 4 1 004 001</t>
  </si>
  <si>
    <t>POR LA EXPEDICION DE LICENCIA PARA LA DEMOLICION DE EDIFICIOS O CASAS HABITACION</t>
  </si>
  <si>
    <t>1 1 4 1 006</t>
  </si>
  <si>
    <t>SERVICIOS GENERALES EN PANTEONES</t>
  </si>
  <si>
    <t>1 1 4 1 006 001</t>
  </si>
  <si>
    <t>DES. SOCIAL</t>
  </si>
  <si>
    <t>INHUMACIONES POR CUERPO</t>
  </si>
  <si>
    <t>1 1 4 1 006 003</t>
  </si>
  <si>
    <t>OSARIO, GUARDA Y CUSTODIA ANUALMENTE</t>
  </si>
  <si>
    <t>1 1 4 1 006 003 001</t>
  </si>
  <si>
    <t>CUOTA ANUAL POR SERV  DE MANTENIMIENTO OSARIO, GUARDA Y CUSTODIA</t>
  </si>
  <si>
    <t>1 1 2 5 5 005 003 002 004</t>
  </si>
  <si>
    <t>DESCUENTO OSARIO GUARDA Y CUSTODIA</t>
  </si>
  <si>
    <t>1 1 4 1 006 004</t>
  </si>
  <si>
    <t>TRASLADO DE CADAVERES O RESTOS ARIDOS</t>
  </si>
  <si>
    <t>1 1 4 1 006 004 002</t>
  </si>
  <si>
    <t>FUERA DEL MUNICIPIO Y DENTRO DEL ESTADO</t>
  </si>
  <si>
    <t>1 1 4 1 007</t>
  </si>
  <si>
    <t>SERVICIO DE AGUA POTABLE,  DRENAJE, ALCANTARILLADO Y SANEAMIENTO</t>
  </si>
  <si>
    <t>1 1 4 1 007 001</t>
  </si>
  <si>
    <t>AGUA POTABLE</t>
  </si>
  <si>
    <t>SERVICIO DE AGUA POTABLE TARIFA TIPO:(DO) DOMESTICA</t>
  </si>
  <si>
    <t>1 1 2 5 5 005 003 002 002</t>
  </si>
  <si>
    <t>DESCUENTO AGUA POTABLE</t>
  </si>
  <si>
    <t>1 1 4 1 007 006</t>
  </si>
  <si>
    <t>POR CONEXIÓN A LA RED DE AGUA POTABLE ( ZONA POPULAR)</t>
  </si>
  <si>
    <t>1 1 4 1 007 007</t>
  </si>
  <si>
    <t>POR CONEXIÓN A LA RED DE AGUA POTABLE ( ZONA COMERCIAL)</t>
  </si>
  <si>
    <t>1 1 4 1 007 013</t>
  </si>
  <si>
    <t>POR CONEXIÓN A LA RED DE DRENAJE ZONA POPULAR</t>
  </si>
  <si>
    <t>1 1 4 1 007 014</t>
  </si>
  <si>
    <t>POR CONEXIÓN A LA RED DE DRENAJE ZONA SEMI-POPULAR</t>
  </si>
  <si>
    <t>1 1 4 1 007 019</t>
  </si>
  <si>
    <t>OTROS SERVICIOS, CAMBIO DE NOMBRE A CONTRATOS</t>
  </si>
  <si>
    <t>1 1 4 1 007 020</t>
  </si>
  <si>
    <t>OTROS SERVICIOS, PIPA DEL AYUNTAMIENTO POR CADA VIAJE CON AGUA</t>
  </si>
  <si>
    <t>1 1 4 1 007 021</t>
  </si>
  <si>
    <t>OTROS SERVICIOS, CARGAS DE PIPAS POR VIAJE</t>
  </si>
  <si>
    <t>1 1 4 1 007 022</t>
  </si>
  <si>
    <t>OTROS SERVICIOS, REPOSICIÓN DE PAVIMENTO</t>
  </si>
  <si>
    <t>1 1 4 1 007 023</t>
  </si>
  <si>
    <t>OTROS SERVICIOS, DESFOGUE DE TOMAS</t>
  </si>
  <si>
    <t>1 1 4 1 007 024</t>
  </si>
  <si>
    <t>OTROS SERVICIOS, EXCAVACIÓN POR M2</t>
  </si>
  <si>
    <t>1 1 4 1 007 026</t>
  </si>
  <si>
    <t>OTROS SERVICIOS, EXCAVACIÓN EN ASFALTO POR M2</t>
  </si>
  <si>
    <t>1 1 4 1 007 027</t>
  </si>
  <si>
    <t>OTROS SERVICIOS, DISTINTOS A LOS ANTERIORES</t>
  </si>
  <si>
    <t>1 1 4 1 007 030</t>
  </si>
  <si>
    <t>1 1 4 1 008</t>
  </si>
  <si>
    <t>POR SERVICIOS DE ALUMBRADO PUBLICO</t>
  </si>
  <si>
    <t>1 1 4 1 008 001</t>
  </si>
  <si>
    <t>DERECHO DE OPERACIÓN Y MANTENIMIENTO DEL ALUMBRADO PUBLICO (DOMAP)</t>
  </si>
  <si>
    <t>1 1 4 1 009</t>
  </si>
  <si>
    <t>POR EL USO DE LA VIA PUBLICA</t>
  </si>
  <si>
    <t>1 1 4 1 009 001</t>
  </si>
  <si>
    <t>COMERCIO AMBULANTE, LOS INSTALADOS EN PUESTOS SEMI-FIJOS EN ZONAS AUTORIZADAS POR EL AYUNTAMIENTO</t>
  </si>
  <si>
    <t>1 1 4 1 009 003</t>
  </si>
  <si>
    <t>COMERCIO AMBULANTE EN LAS CALLES AUTORIZADAS POR EL AYUNTAMIENTO, DENTRO DE LA CABECERA MUNICIPAL DIARIAMENTE</t>
  </si>
  <si>
    <t>1 1 4 1 010</t>
  </si>
  <si>
    <t>CENTRALES DE MAQUINARIA AGRICOLA</t>
  </si>
  <si>
    <t>1 1 4 1 010 001</t>
  </si>
  <si>
    <t>DES. RURAL</t>
  </si>
  <si>
    <t>RASTREO POR HECTARIA O FRACCION</t>
  </si>
  <si>
    <t>1 1 4 1 010 002</t>
  </si>
  <si>
    <t>BARBECHO POR HECTARIA POR FRACCION</t>
  </si>
  <si>
    <t>1 1 4 1 010 003</t>
  </si>
  <si>
    <t>DESGRANADO POR COSTAL</t>
  </si>
  <si>
    <t>1 1 4 3</t>
  </si>
  <si>
    <t>DERECHOS POR PRESTACION DE SERVICIOS</t>
  </si>
  <si>
    <t>1 1 4 3 001</t>
  </si>
  <si>
    <t>POR LA EXPEDICION DE PERMISOS Y REGISTROS EN MATERIA AMBIENTAL</t>
  </si>
  <si>
    <t>1 1 4 3 001 007</t>
  </si>
  <si>
    <t>POZOLERIAS</t>
  </si>
  <si>
    <t>1 1 4 3 001 009</t>
  </si>
  <si>
    <t>DISCOTECAS</t>
  </si>
  <si>
    <t>1 1 4 3 001 010</t>
  </si>
  <si>
    <t>TALLERES MECANICOS</t>
  </si>
  <si>
    <t>1 1 4 3 001 015</t>
  </si>
  <si>
    <t>CARPINTERIA</t>
  </si>
  <si>
    <t>1 1 4 3 001 020</t>
  </si>
  <si>
    <t>DONATIVOS Y LEGADOS</t>
  </si>
  <si>
    <t>1 1 4 3 001 021</t>
  </si>
  <si>
    <t>OTROS PERMISOS EN MATERI AMBIENTAL</t>
  </si>
  <si>
    <t>1 1 2 5 5 005 003 002 003</t>
  </si>
  <si>
    <t>DESCUENTO LICENCIAS DE FUNCIONAMIENTO</t>
  </si>
  <si>
    <t>1 1 4 3 002</t>
  </si>
  <si>
    <t>POR LA EXPEDICION O TRAMITACION DE CONSTANCIAS, CERTIFICACIONES, DUPLICADOS Y COPIAS</t>
  </si>
  <si>
    <t>1 1 4 3 002 002</t>
  </si>
  <si>
    <t>SEC. GENERAL</t>
  </si>
  <si>
    <t>CONSTANCIA DE RESIDENCIA, PARA NACIONALES</t>
  </si>
  <si>
    <t>1 1 4 3 002 003</t>
  </si>
  <si>
    <t>CONSTANCIA DE RESIDENCIA, TRANTANDOSE DE EXTRANJEROS</t>
  </si>
  <si>
    <t>1 1 4 3 002 007</t>
  </si>
  <si>
    <t>CONSTANCIA DE FACTIBILIDAD DE ACTIVIDAD O GIRO COMERCIAL, INDUSTRIAL O DE SERVICIOS, POR APERTURA</t>
  </si>
  <si>
    <t>1 1 4 3 002 010</t>
  </si>
  <si>
    <t>CERTIFICADO DE DEPENDENCIA ECONOMICA NACIONALES</t>
  </si>
  <si>
    <t>1 1 4 3 002 013</t>
  </si>
  <si>
    <t>CERTIFICACION DE DOCUMENTOS QUE ACREDITEN UN ACTO JURIDICO</t>
  </si>
  <si>
    <t>1 1 4 3 002 014</t>
  </si>
  <si>
    <t>CERTIFICACION DE FIRMAS</t>
  </si>
  <si>
    <t>1 1 4 3 002 015</t>
  </si>
  <si>
    <t>COPIAS CERTIFICADAS DE DATOS O DOCUMENTOS QUE OBREN EN LOS ARCHIVOS DEL AYUNTAMIENTO, CUANDO NO EXCEDAN DE TRES HOJAS</t>
  </si>
  <si>
    <t>1 1 4 3 002 016</t>
  </si>
  <si>
    <t>CUANDO EXCEDAN, POR CADA HOJA EXCEDENTE.</t>
  </si>
  <si>
    <t>1 1 4 3 002 023</t>
  </si>
  <si>
    <t>CONSTANCIAS, CERTIFICACIONES O COPIAS CERTIFICADAS NO PREVISTAS EN ESTE CAPÍTULO SIEMPRE Y CUANDO NO SE OPONGAN A LO DISPUESTO EN EL ARTICULO 10-A</t>
  </si>
  <si>
    <t>1 1 4 3 003</t>
  </si>
  <si>
    <t>DERECHOS POR COPIAS DE PLANOS, AVALUOS, Y SERVICIOS CATASTRALES</t>
  </si>
  <si>
    <t>1 1 4 3 003 001</t>
  </si>
  <si>
    <t>CONSTANCIA DE NO ADEUDO DEL IMPUESTO PREDIAL</t>
  </si>
  <si>
    <t>1 1 4 3 003 003</t>
  </si>
  <si>
    <t>CONSTANCIA DE FACTIBILIDAD DE USO DE SUELO</t>
  </si>
  <si>
    <t>1 1 4 3 003 004</t>
  </si>
  <si>
    <t>CONSTANCIA DE NO AFECTACION</t>
  </si>
  <si>
    <t>1 1 4 3 003 005</t>
  </si>
  <si>
    <t>CONSTANCIA DE NUMERO OFICIAL</t>
  </si>
  <si>
    <t>1 1 4 3 003 006</t>
  </si>
  <si>
    <t>CONSTANCIA DE NO ADEUDO DE SERVICIO DE AGUA POTABLE</t>
  </si>
  <si>
    <t>1 1 4 3 003 010</t>
  </si>
  <si>
    <t>CONSTANCIA DE NO SERVICIO DE AGUA POTABLE</t>
  </si>
  <si>
    <t>1 1 4 3 003 012</t>
  </si>
  <si>
    <t>CERTIFICADO DEL VALOR FISCAL DEL PREDIO</t>
  </si>
  <si>
    <t>1 1 4 3 003 013</t>
  </si>
  <si>
    <t>CERTIFICACION DE PLANOS PARA LA AUTORIZACION DE LA SUBDIVISION DE PREDIOS  O PARA EL ESTABLECIMIENTO DE FRACCIONAMIENTOS</t>
  </si>
  <si>
    <t>1 1 4 3 003 014</t>
  </si>
  <si>
    <t>CERTIFICACION DE SUPERFICIE CATASTRAL DE UN PREDIO</t>
  </si>
  <si>
    <t>1 1 4 3 003 015</t>
  </si>
  <si>
    <t>CERTIFICADO DE REGISTRO EN EL PADRON  CATASTRAL A NOMBRE DEL PROPIETARIO O POSEEDOR DE UN PREDIO</t>
  </si>
  <si>
    <t>1 1 4 3 003 017</t>
  </si>
  <si>
    <t>CERTIFICADOS CATASTRALES DE INSCRIPCION, A LOS QUE EXPIDAN POR LA ADQUISICION DE INMUEBLES, A) HASTA $10,791.00, SE COBRARAN</t>
  </si>
  <si>
    <t>1 1 4 3 003 018</t>
  </si>
  <si>
    <t>CERTIFICADOS CATASTRALES DE INSCRIPCION, A LOS QUE EXPIDAN POR LA ADQUISICION DE INMUEBLES, B) HASTA $ 21,582.00, SE COBRARAN</t>
  </si>
  <si>
    <t>1 1 4 3 003 019</t>
  </si>
  <si>
    <t>CERTIFICADOS CATASTRALES DE INSCRIPCION, A LOS QUE EXPIDAN POR LA ADQUISICION DE INMUEBLES, C) HASTA $43,164.00, SE COBRARAN</t>
  </si>
  <si>
    <t>1 1 4 3 003 022</t>
  </si>
  <si>
    <t>DUPLICADOS AUTOGRAFOS AL CARBON DE LOS MISMOS DOCUMENTOS</t>
  </si>
  <si>
    <t>1 1 4 3 003 032</t>
  </si>
  <si>
    <t>POR EL APEO Y DESLINDE ADMINISTRATIVO, SE PAGARA LO EQUIVALENTE AL SUELDO CORRESPONDIENTE DEL INGENIERO TOPOGRAFO</t>
  </si>
  <si>
    <t>1 1 4 3 003 033</t>
  </si>
  <si>
    <t>POR LOS PLANOS DE DESLINDE CATASTRAL</t>
  </si>
  <si>
    <t>1 1 4 3 004</t>
  </si>
  <si>
    <t>SERVICIOS DE LIMPIA, ASEO PUBLICO, RECOLECCION, TRASLADO, TRATAMIENTO Y DISPOSICION FINAL DE RESIDUOS</t>
  </si>
  <si>
    <t>1 1 4 3 004 006</t>
  </si>
  <si>
    <t>POR LA PODA DE ARBOLES Y ARBUSTOS</t>
  </si>
  <si>
    <t>1 1 4 3 003 051</t>
  </si>
  <si>
    <t>DERECHOS DE ESCRITURACION</t>
  </si>
  <si>
    <t>1 1 4 3 003 051 001</t>
  </si>
  <si>
    <t>LOTES HASTA DE 120.01 HASTA 250 MTS. CUADRADOS</t>
  </si>
  <si>
    <t>1 1 4 3 005</t>
  </si>
  <si>
    <t>LICENCIAS PERMISOS DE CIRCULACION Y REPOSICION DE DOCUMENTOS DE TRANSITO</t>
  </si>
  <si>
    <t>1 1 4 3 005 001</t>
  </si>
  <si>
    <t>LICENCIAS PARA MANEJAR</t>
  </si>
  <si>
    <t>1 1 4 3 005 001 001</t>
  </si>
  <si>
    <t>LICENCIAS</t>
  </si>
  <si>
    <t>LICENCIA PARA MANEJAR, CHOFER  5 AÑOS</t>
  </si>
  <si>
    <t>1 1 4 3 005 001 002</t>
  </si>
  <si>
    <t>LICENCIA PARA MANEJAR, CHOFER  3 AÑOS</t>
  </si>
  <si>
    <t>1 1 4 3 005 001 003</t>
  </si>
  <si>
    <t>LICENCIA PARA MANEJAR, AUTOMOVILISTA  5 AÑOS</t>
  </si>
  <si>
    <t>1 1 4 3 005 001 004</t>
  </si>
  <si>
    <t>LICENCIA PARA MANEJAR, AUTOMOVILISTA  3 AÑOS</t>
  </si>
  <si>
    <t>1 1 4 3 005 001 005</t>
  </si>
  <si>
    <t>LICENCIA PARA MANEJAR, MOTOCICLISTA, MOTONETAS O SIMILARES 5 AÑOS</t>
  </si>
  <si>
    <t>1 1 4 3 005 001 006</t>
  </si>
  <si>
    <t>LICENCIA PARA MANEJAR, MOTOCICLISTA, MOTONETAS O SIMILARES 3 AÑOS</t>
  </si>
  <si>
    <t>1 1 4 3 005 001 007</t>
  </si>
  <si>
    <t>DUPLICADO DE LICENCIA POR EXTRAVIO 5 AÑOS</t>
  </si>
  <si>
    <t>1 1 4 3 005 001 008</t>
  </si>
  <si>
    <t>DUPLICADO DE LICENCIA POR EXTRAVIO 3 AÑOS</t>
  </si>
  <si>
    <t>1 1 4 3 005 001 009</t>
  </si>
  <si>
    <t>LICENCIA PARA MENORES DE EDAD HASTA POR 6 MESES</t>
  </si>
  <si>
    <t>1 1 4 3 005 002</t>
  </si>
  <si>
    <t>OTROS SERVICIOS</t>
  </si>
  <si>
    <t>1 1 4 3 005 002 001</t>
  </si>
  <si>
    <t>PERMISO PROVISIONAL PARA CIRCULAR SIN PACAS POR 30 DIAS, UNICAMENTE A MODELOS 2009, 2010 Y 2011</t>
  </si>
  <si>
    <t>1 1 4 3 005 002 010</t>
  </si>
  <si>
    <t>REEXPED. DE PERMISO PROVICIONAL PARA CIRCULAR SIN PLACA POR 30 DIAS</t>
  </si>
  <si>
    <t>1 1 4 3 005 002 011</t>
  </si>
  <si>
    <t>PERMISO PROVICIONAL MOTOCICLISTA X 30 DIAS PARA CIRCULAR SIN PLACAS</t>
  </si>
  <si>
    <t>1 1 4 3 005 002 012</t>
  </si>
  <si>
    <t>PERMISO PROVICIONAL PARA TRASLADO DE VEHICULOS NUEVOS POR 24 HORAS</t>
  </si>
  <si>
    <t>1 1 4 3 005 002 013</t>
  </si>
  <si>
    <t>EXP. DE PERMISO PROVICIONAL P/TRANSP. DE CARGA X 30 DIAS DE PART. NO MATERIAL PELIGROSO</t>
  </si>
  <si>
    <t>1 1 4 3 006</t>
  </si>
  <si>
    <t>EXPEDICION INICIAL O REFRENDO DE LICENCIAS, PERMISOS Y AUTORIZACIONES PARA EL FUNCIONAMIENTO DE ESTABLECIMIENTOS O LOCALES CUYOS GIROS SEAN LA ENAJENACION DE BEBIDAS ALCOHOLICAS O LA PRESTACION DE SERVICIOS QUE INCLUYAN SU EXPENDIO</t>
  </si>
  <si>
    <t>1 1 4 3 006 001</t>
  </si>
  <si>
    <t>ENAJENACION</t>
  </si>
  <si>
    <t>1 1 4 3 006 001 001</t>
  </si>
  <si>
    <t>POR EXPED. INIC.O REF. DE LIC. COMERC. EN LOC. UBIC. FUERA DE MERCADOS.</t>
  </si>
  <si>
    <t>1 1 4 3 006 001 002</t>
  </si>
  <si>
    <t>POR EXPED. INIC.O REF. DE LIC. COMERC. EN LOC. UBIC. DENTRO DE MERCADOS</t>
  </si>
  <si>
    <t>1 1 4 3 006 001 009</t>
  </si>
  <si>
    <t>POR EXPEDICION DE LICENCIA COMERCIAL, MISCELANEAS, TENDAJONES, OASIS Y DEPOSITOS DE CERVEZA, CON VENTA DE BEBIDAS ALCOHOLICAS EN BOTELLA CERRADA PARA LLEVAR</t>
  </si>
  <si>
    <t>1 1 4 3 006 001 010</t>
  </si>
  <si>
    <t>POR EL REFRENDO DE LICENCIA COMERCIAL, MISCELANEAS, TENDAJONES, OASIS Y DEPOSITOS DE CERVEZA, CON VENTA DE BEBIDAS ALCOHOLICAS EN BOTELLA CERRADA PARA LLEVAR</t>
  </si>
  <si>
    <t>1 1 4 3 006 001 019</t>
  </si>
  <si>
    <t>OTROS NO ESP. EXP. DE LICENCIA</t>
  </si>
  <si>
    <t>1 1 4 3 006 002</t>
  </si>
  <si>
    <t>PRESTACION DE SERVICIOS</t>
  </si>
  <si>
    <t>1 1 4 3 006 002 001</t>
  </si>
  <si>
    <t>EXPEDICION  DE LICENCIA , BARES</t>
  </si>
  <si>
    <t>1 1 4 3 006 002 009</t>
  </si>
  <si>
    <t>EXPEDICION  DE LICENCIA, DISCOTECAS</t>
  </si>
  <si>
    <t>1 1 4 3 006 002 011</t>
  </si>
  <si>
    <t>EXPEDICION DE LICENCIA, POZOLERIAS, CEVICHERIAS, OSTIONERIAS Y SIMILARES CON VENTA DE BEBIDAS ALCOHOLICAS CON LOS ALIMENTOS</t>
  </si>
  <si>
    <t>1 1 4 3 006 002 015</t>
  </si>
  <si>
    <t>EXPEDICION DE LICENCIA, RESTAURANTES CON SERVICIO DE BAR</t>
  </si>
  <si>
    <t>1 1 4 3 006 003</t>
  </si>
  <si>
    <t>POR CUALQUIER MODIFICACION QUE SUFRA LA LICENCIA O EMPADRONAMIENTO DE LOCALES ESTABLECIDOS FUERA DEL MERCADO MUNICIPAL, PREVIA AUTORIZACION DEL PRESIDENTE MUNICIPAL</t>
  </si>
  <si>
    <t>1 1 4 3 006 003 001</t>
  </si>
  <si>
    <t>CAMBIO DE DOMICILIO</t>
  </si>
  <si>
    <t>1 1 4 3 007</t>
  </si>
  <si>
    <t>POR LICENCIAS, PERMISOS O AUTORIZACIONES PARA LA COLOCACION DE ANUNCIOS O CARTELES Y LA REALIZACION DE PUBLICIDAD</t>
  </si>
  <si>
    <t>1 1 4 3 007 001</t>
  </si>
  <si>
    <t>1 1 4 3 007 001 001</t>
  </si>
  <si>
    <t>ANUNCIOS COMERCIALES O CARTELES EN FACHADAS, MUROS PAREDES O BARDAS, HASTA 5 M2</t>
  </si>
  <si>
    <t>1 1 4 3 007 006</t>
  </si>
  <si>
    <t>POR ANUNCIOS TRANSITORIOS POR MEDIO DE PROPAGANDA EN TABLEROS, VOLANTES Y DEMAS FORMAS SIMILARES</t>
  </si>
  <si>
    <t>1 1 4 3 007 006 001</t>
  </si>
  <si>
    <t>PROMOCIONES DE PROPAGANDA COMERCIAL MEDIANTE CARTULINAS VOLANTES Y SIMILARES</t>
  </si>
  <si>
    <t>1 1 4 3 007 007</t>
  </si>
  <si>
    <t>POR PERIFONEO</t>
  </si>
  <si>
    <t>1 1 4 3 007 007 001</t>
  </si>
  <si>
    <t>AMBULANTE, POR MENSUALIDAD</t>
  </si>
  <si>
    <t>1 1 4 3 007 007 003</t>
  </si>
  <si>
    <t>AMBULANTE, EVENTO ANUNCIADO</t>
  </si>
  <si>
    <t>1 1 4 3 007 007 006</t>
  </si>
  <si>
    <t>FIJO, POR EVENTO ANUNCIADO</t>
  </si>
  <si>
    <t>1 1 4 3 008</t>
  </si>
  <si>
    <t>REGISTRO CIVIL</t>
  </si>
  <si>
    <t>1 1 4 3 008 001</t>
  </si>
  <si>
    <t>POR ADMINISTRACION DEL REGISTRO CIVIL</t>
  </si>
  <si>
    <t>1 1 4 3 008 001 001</t>
  </si>
  <si>
    <t>REGISTROS DE NACIMIENTO</t>
  </si>
  <si>
    <t>1 1 4 3 008 001 001 001</t>
  </si>
  <si>
    <t>REGISTRO DE NACIMIENTO DE 1 DIA DE NACIDO HASTA 1 AÑO</t>
  </si>
  <si>
    <t>1 1 4 3 008 001 001 002</t>
  </si>
  <si>
    <t>REGISTRO DE NACIMIENTO DE 1 AÑO 1 DIA DE NACIDO HASTA LOS 7 AÑOS 11 MESES</t>
  </si>
  <si>
    <t>1 1 4 3 008 001 001 003</t>
  </si>
  <si>
    <t>REGISTRO DE NACIMIENTO EXTEMPORANEO DESPUES DE LOS 7 AÑOS 11 MESES 1 DIA DE EDAD, CON AUTORIZACION ADMINISTRATIVA O INFORMACION TESTIMONIAL</t>
  </si>
  <si>
    <t>1 1 4 3 008 001 002</t>
  </si>
  <si>
    <t>REGISTRO DE LEGITIMACION Y RECONOCIMIENTO DE HIJOS</t>
  </si>
  <si>
    <t>1 1 4 3 008 001 004</t>
  </si>
  <si>
    <t>MATRIMONIOS</t>
  </si>
  <si>
    <t>1 1 4 3 008 001 004 001</t>
  </si>
  <si>
    <t>EN LA OFICINA ENTRE NACIONALES</t>
  </si>
  <si>
    <t>1 1 4 3 008 001 004 002</t>
  </si>
  <si>
    <t>A DOMICILIO</t>
  </si>
  <si>
    <t>1 1 4 3 008 001 004 003</t>
  </si>
  <si>
    <t>ENTRE EXTRANJEROS EN LA OFICINA</t>
  </si>
  <si>
    <t>1 1 4 3 008 001 005</t>
  </si>
  <si>
    <t>REGISTROS DE DIVORCIO</t>
  </si>
  <si>
    <t>1 1 4 3 008 001 005 001</t>
  </si>
  <si>
    <t>DIVORCIO JUDICIAL ENTRE NACIONALES</t>
  </si>
  <si>
    <t>1 1 4 3 008 001 005 003</t>
  </si>
  <si>
    <t>DIVORCIO ADMINISTRATIVO ENTRE NACIONALES</t>
  </si>
  <si>
    <t>1 1 4 3 008 001 007</t>
  </si>
  <si>
    <t>REGISTRO DE INSCRIPCION</t>
  </si>
  <si>
    <t>1 1 4 3 008 001 009</t>
  </si>
  <si>
    <t>OTROS: NO CAUSAN IMPUESTOS ADICIONALES LOS CONCEPTO DEL INCISO 1 DEL ART. 84 DE LA LEY DE HACIENDA DEL ESTADO</t>
  </si>
  <si>
    <t>1 1 4 3 008 001 009 001</t>
  </si>
  <si>
    <t>EXPEDICION DE ACTAS CERTIFICADAS</t>
  </si>
  <si>
    <t>1 1 4 3 008 001 009 002</t>
  </si>
  <si>
    <t>CONSTANCIAS DE INEXISTENCIA DEL REGISTRO</t>
  </si>
  <si>
    <t>1 1 4 3 008 001 009 005</t>
  </si>
  <si>
    <t>ANOTACIONES MARGINALES DE ACTAS DE REGISTRO CIVIL</t>
  </si>
  <si>
    <t>1 1 4 3 008 001 009 009</t>
  </si>
  <si>
    <t>OTROS SERVICIOS NO EXPECIFICADOS</t>
  </si>
  <si>
    <t>1 1 4 3 008 001 009 010</t>
  </si>
  <si>
    <t>CUALQUIER OTRA CERTIFICACION QUE SE EXPIDA DISTINTA DE LAS EXPRESADAS</t>
  </si>
  <si>
    <t>1 1 4 3 010</t>
  </si>
  <si>
    <t>SERVICIOS MUNICIPALES DE SALUD</t>
  </si>
  <si>
    <t>1 1 4 3 010 003</t>
  </si>
  <si>
    <t>OTROS SERVICIOS MEDICOS</t>
  </si>
  <si>
    <t>1 1 4 3 011</t>
  </si>
  <si>
    <t>1 1 4 3 011 001</t>
  </si>
  <si>
    <t>LOTES HASTA 120 Mts CUADRADOS</t>
  </si>
  <si>
    <t>1 1 4 3 011 002</t>
  </si>
  <si>
    <t>LOTES DE 120.01 HASTA 250 Mts CUADRADOS</t>
  </si>
  <si>
    <t>1 1 4 4</t>
  </si>
  <si>
    <t>OTROS DERECHOS</t>
  </si>
  <si>
    <t>1 1 4 4 002</t>
  </si>
  <si>
    <t>PRO-BOMBEROS</t>
  </si>
  <si>
    <t>1 1 4 4 002 001</t>
  </si>
  <si>
    <t>1 1 4 4 004</t>
  </si>
  <si>
    <t>PRO-ECOLOGIA</t>
  </si>
  <si>
    <t>1 1 4 4 004 001</t>
  </si>
  <si>
    <t>POR VERIFICACION PARA ESTABLECIMIENTO DE UN NUEVO O AMPLIACION DE OBRAS, SERVICIOS, INDUSTRIA Y COMERCIO</t>
  </si>
  <si>
    <t>1 1 4 4 004 002</t>
  </si>
  <si>
    <t>POR PERMISOS PARA PODA DE ARBOL PUBLICO O PRIVADO</t>
  </si>
  <si>
    <t>1 1 4 4 004 003</t>
  </si>
  <si>
    <t>POR PERMISO POR DERRIBA DE ARBOL PUBLICO O PRIVADO, POR CM DE DIAMETRO</t>
  </si>
  <si>
    <t>1 1 4 4 004 004</t>
  </si>
  <si>
    <t>POR LICENCIA AMBIENTAL NO RESERVADA A LA FEDERACION</t>
  </si>
  <si>
    <t>1 1 4 4 004 006</t>
  </si>
  <si>
    <t>POR SOLICITUD DE REGISTRO DE DESCARGA DE AGUAS RESIDUALES</t>
  </si>
  <si>
    <t>1 1 4 4 004 010</t>
  </si>
  <si>
    <t>POR EXTRACCION DE FLORA NO RESERVADA A LA FEDERACION EN EL MUNICIPIO</t>
  </si>
  <si>
    <t>1 1 4 4 004 014</t>
  </si>
  <si>
    <t>POR DICTAMENES PARA CAMBIOS DE USO DE SUELO</t>
  </si>
  <si>
    <t>1 1 4 4 006</t>
  </si>
  <si>
    <t>1 1 4 4 006 001</t>
  </si>
  <si>
    <t>1 1 4 4 006 001 001</t>
  </si>
  <si>
    <t>DE PARTICULARES</t>
  </si>
  <si>
    <t>1 1 5</t>
  </si>
  <si>
    <t>PRODUCTOS</t>
  </si>
  <si>
    <t>1 1 5 1</t>
  </si>
  <si>
    <t>PRODUCTOS DE TIPO CORRIENTE</t>
  </si>
  <si>
    <t>1 1 5 1 001</t>
  </si>
  <si>
    <t>ARRENDAMIENTO</t>
  </si>
  <si>
    <t>1 1 5 1 001 001</t>
  </si>
  <si>
    <t>MERCADO CENTRAL</t>
  </si>
  <si>
    <t>1 1 5 1 001 005</t>
  </si>
  <si>
    <t>TIANGUIS EN ESPACIOS AUTORIZADOS POR EL AYUNTAMIENTO, DIARIAMENTE POR M2</t>
  </si>
  <si>
    <t>1 1 5 1 001 008</t>
  </si>
  <si>
    <t>SANITARIOS</t>
  </si>
  <si>
    <t>1 1 5 1 001 011</t>
  </si>
  <si>
    <t>RENTA DE MAQUINARIA PESADA</t>
  </si>
  <si>
    <t>1 1 5 1 001 013</t>
  </si>
  <si>
    <t>EXPLANADAS PLAZAS Y PLAZUELAS</t>
  </si>
  <si>
    <t>1 1 5 1 002</t>
  </si>
  <si>
    <t>POR LOTES EN PROPIEDAD O ARRENDAMIENTO EN LOS CEMENTERIOS MUNICIPALES POR LA CONSTRUCCION DE FOSAS</t>
  </si>
  <si>
    <t>1 1 5 1 002 001</t>
  </si>
  <si>
    <t>FOSA EN PROPIEDAD POR M2., PRIMERA</t>
  </si>
  <si>
    <t>1 1 5 1 003</t>
  </si>
  <si>
    <t>OCUPACION O APROVECHAMIENTO DE LA VIA PUBLICA</t>
  </si>
  <si>
    <t>1 1 5 1 003 001</t>
  </si>
  <si>
    <t>ESTACIONAMIENTO DE VEHICULOS EN EN ZONAS URBANAS, DE 8:00 A LAS 21:00 HORAS, EXCEPTO DOMINGO Y DIAS FESTIVOS, POR CADA 3 MINUTOS</t>
  </si>
  <si>
    <t>1 1 5 1 003 006</t>
  </si>
  <si>
    <t>EN LOS ESTACIONAMIENTOS EXCLUSIVOS EN LA VIA PUBLICA, LOS AUTOMOVILES DE ALQUILER, CAMIONETAS DE SERVICIO PUBLICO, MENSUALMENTE</t>
  </si>
  <si>
    <t>1 1 5 1 003 013</t>
  </si>
  <si>
    <t>LOS ESTACIONAMIENTOS EN LA VIA PUBLICA DE TODA CLASE DE VEHICULOS DE ALQUILER, NO ESPECIFICADOS PAGARAN POR CADA VEHICULO UNA CUATA SEMESTRAL</t>
  </si>
  <si>
    <t>1 1 5 1 003 014</t>
  </si>
  <si>
    <t>POR OCUPACION DE LA VIA PUBLICA CON TAPIALES O MATERIALES DE CONSTRUCCION POR M2 POR DIA</t>
  </si>
  <si>
    <t>1 1 5 1 006</t>
  </si>
  <si>
    <t>ARRENDAMIENTO, EXPLOTACION O VENTA DE BIENES MUEBLES</t>
  </si>
  <si>
    <t>1 1 5 1 006 001</t>
  </si>
  <si>
    <t>BIENES MUEBLES</t>
  </si>
  <si>
    <t>1 1 5 1 006 001 001</t>
  </si>
  <si>
    <t>1 1 5 1 014</t>
  </si>
  <si>
    <t>ADQUISICIONES PARA VENTA DE APOYO A LAS COMUNIDADES</t>
  </si>
  <si>
    <t>1 1 5 1 014 007</t>
  </si>
  <si>
    <t>APEROS AGRICOLAS</t>
  </si>
  <si>
    <t>1 1 5 1 014 008</t>
  </si>
  <si>
    <t>MATERIALES CONGREGACIÓN MARIANA TRINITARIA</t>
  </si>
  <si>
    <t>1 1 5 1 015</t>
  </si>
  <si>
    <t>PRODUCTOS DIVERSOS</t>
  </si>
  <si>
    <t>1 1 5 1 015 006</t>
  </si>
  <si>
    <t>VENTA DE FORMAS IMPRESAS POR JUEGOS</t>
  </si>
  <si>
    <t>1 1 5 1 015 009</t>
  </si>
  <si>
    <t>FORMATO DE LICENCIA</t>
  </si>
  <si>
    <t>1 1 5 1 015 011</t>
  </si>
  <si>
    <t>FORMAS DEL REGISTRO CIVIL</t>
  </si>
  <si>
    <t>1 1 5 1 015 012</t>
  </si>
  <si>
    <t>COPIAS FOTOSTATICAS</t>
  </si>
  <si>
    <t>1 1 5 1 016</t>
  </si>
  <si>
    <t>PRODUCTOS FINANCIEROS</t>
  </si>
  <si>
    <t>1 1 5 1 016 001</t>
  </si>
  <si>
    <t>GASTO CORRIENTE</t>
  </si>
  <si>
    <t>1 1 5 1 016 001 001</t>
  </si>
  <si>
    <t>INTERESES POR PRODUCTOS FINANCIEROS</t>
  </si>
  <si>
    <t>1 1 5 1 016 002</t>
  </si>
  <si>
    <t>FONDO DE INFRAESTRUCTURA SOCIAL MUNICIPAL</t>
  </si>
  <si>
    <t>1 1 5 1 016 002 001</t>
  </si>
  <si>
    <t>INTERERES POR PRODUCTOS FINANCIEROS</t>
  </si>
  <si>
    <t>1 1 5 1 016 005</t>
  </si>
  <si>
    <t>INGRESOS PROPIOS</t>
  </si>
  <si>
    <t>1 1 5 1 016 005 001</t>
  </si>
  <si>
    <t>INTERES GANADOS POR PRODUCTOS FINANCIEROS</t>
  </si>
  <si>
    <t>1 1 6</t>
  </si>
  <si>
    <t>APROVECHAMIENTOS</t>
  </si>
  <si>
    <t>1 1 6 1</t>
  </si>
  <si>
    <t>APROVECHAMIENTOS DE TIPO CORRIENTE</t>
  </si>
  <si>
    <t>1 1 6 1 001</t>
  </si>
  <si>
    <t>1 1 6 1 001 001</t>
  </si>
  <si>
    <t>1 1 6 1 001 002</t>
  </si>
  <si>
    <t>1 1 6 1 001 003</t>
  </si>
  <si>
    <t>1 1 6 1 001 004</t>
  </si>
  <si>
    <t>1 1 6 1 001 005</t>
  </si>
  <si>
    <t>1 1 6 1 001 006</t>
  </si>
  <si>
    <t>1 1 6 1 002</t>
  </si>
  <si>
    <t>MULTAS ADMINISTRATIVAS</t>
  </si>
  <si>
    <t>1 1 6 1 002 001</t>
  </si>
  <si>
    <t>SEG. PUBLICA</t>
  </si>
  <si>
    <t>LOS QUE TRANSG. ESTAB.EN EL BDO.POLIC.GO</t>
  </si>
  <si>
    <t>1 1 6 1 008</t>
  </si>
  <si>
    <t>1 1 6 1 008 001</t>
  </si>
  <si>
    <t>PARTICULARES</t>
  </si>
  <si>
    <t>1 1 6 1 008 004</t>
  </si>
  <si>
    <t>DONATIVO POR SERV. DE AMBULANCIA</t>
  </si>
  <si>
    <t>1 1 6 1 009</t>
  </si>
  <si>
    <t>BIENES MOSTRENCOS</t>
  </si>
  <si>
    <t>1 1 6 1 009 002</t>
  </si>
  <si>
    <t>CABILDO</t>
  </si>
  <si>
    <t>VENTA DE BIENES MUEBLES</t>
  </si>
  <si>
    <t>1 1 6 1 010</t>
  </si>
  <si>
    <t>INDEMNIZACION POR DAÑOS CAUSADOS A BIENES MUNICIPALES</t>
  </si>
  <si>
    <t>1 1 6 1 010 001</t>
  </si>
  <si>
    <t>DAÑOS CAUSADOS A BIENES PROPIEDAD DEL MUNICIPIO</t>
  </si>
  <si>
    <t>1 1 7</t>
  </si>
  <si>
    <t>INGRESOS POR VENTA DE BIENES Y SERVICIOS DE ORGANISMOS DESCENTRALIZADOS</t>
  </si>
  <si>
    <t>1 1 7 9</t>
  </si>
  <si>
    <t>IMPUESTOS, PRODUCTOS Y APROVECHAMIENTOS CAUSADOS EN EJERCICIOS FISCALES ANTERIORES PENDIENTES DE PAGO</t>
  </si>
  <si>
    <t>1 1 7 9 003</t>
  </si>
  <si>
    <t>APROVECHAMIENTOS CAUSADOS EN EJERCICIOS FISCALES ANTERIORES</t>
  </si>
  <si>
    <t>1 1 7 9 003 001</t>
  </si>
  <si>
    <t>1 1 8</t>
  </si>
  <si>
    <t>PARTICIPACIONES Y APORTACIONES</t>
  </si>
  <si>
    <t>1 1 8 1</t>
  </si>
  <si>
    <t>PARTICIPACIONES</t>
  </si>
  <si>
    <t>1 1 8 1 001</t>
  </si>
  <si>
    <t>LAS PROV DEL FONDO GRAL DE PARTICIPACION</t>
  </si>
  <si>
    <t>1 1 8 1 001 001</t>
  </si>
  <si>
    <t>FONDO COMUN</t>
  </si>
  <si>
    <t>1 1 8 1 001 001 001</t>
  </si>
  <si>
    <t>IEPS COMPENSACION-ISAN</t>
  </si>
  <si>
    <t>1 1 8 1 001 001 002</t>
  </si>
  <si>
    <t>ISAN-TENENCIA</t>
  </si>
  <si>
    <t>1 1 8 1 001 002</t>
  </si>
  <si>
    <t>FONDO DE FOMENTO MUNICIPAL</t>
  </si>
  <si>
    <t>1 1 8 1 001 003</t>
  </si>
  <si>
    <t>FONDO PARA LA NFRAESTRUCTURA A MUNICIPIOS</t>
  </si>
  <si>
    <t>1 1 8 1 001 004</t>
  </si>
  <si>
    <t>FONDO DE FISCALIZACION</t>
  </si>
  <si>
    <t>1 1 8 1 001 007</t>
  </si>
  <si>
    <t>FONDO GENERAL DE PARTICIPACIONES</t>
  </si>
  <si>
    <t>1 1 8 1 001 008</t>
  </si>
  <si>
    <t>FONDO D APORTACIONES ESTATALES PARA LA INFRAESTRUC. SOCIAL MPAL. (GAS. Y DISEL)</t>
  </si>
  <si>
    <t>1 1 8 1 001 010</t>
  </si>
  <si>
    <t>FONDO DE RECAUDACION DEL ISR</t>
  </si>
  <si>
    <t>1 1 8 1 001 011</t>
  </si>
  <si>
    <t>CAPITAL FONDO DE PÀRTICIPACIONES FEDERALES A MUNICIPIOS CUENTA PUBLICA</t>
  </si>
  <si>
    <t>1 1 8 1 001 012</t>
  </si>
  <si>
    <t xml:space="preserve">RENDIMIENTOS FINANCIEROS FONDO DE PARTICIPACIONES FEDERALES A MUNICIPIOS CUENTA PUBLICA </t>
  </si>
  <si>
    <t>1 1 8 1 001 013</t>
  </si>
  <si>
    <t xml:space="preserve">ART. 4A FRAC. I LCF (GASOLINAS)
</t>
  </si>
  <si>
    <t>1 1 8 1 001 014</t>
  </si>
  <si>
    <t xml:space="preserve">ART. 4A FRAC. II LCF (FOCO)
</t>
  </si>
  <si>
    <t>1 1 8 1 001 015</t>
  </si>
  <si>
    <t xml:space="preserve">FONDO DE COMPENSACION ISAN
</t>
  </si>
  <si>
    <t>1 1 8 1 001 016</t>
  </si>
  <si>
    <t>FONDO DE ESTABILIZACION DE LOS INGRESOS DE LAS ENTIDADES FEDERALES</t>
  </si>
  <si>
    <t>1 1 8 2</t>
  </si>
  <si>
    <t>APORTACIONES</t>
  </si>
  <si>
    <t>1 1 8 2 001</t>
  </si>
  <si>
    <t>FONDO DE APORT P/INFRA SOC MPAL</t>
  </si>
  <si>
    <t>1 1 8 2 001 001</t>
  </si>
  <si>
    <t>APORTACIONES PARA LA INFRAESTRUCTURA SOCIAL MUNICIPAL</t>
  </si>
  <si>
    <t>1 1 8 2 002</t>
  </si>
  <si>
    <t>FONDO DE APORTACIONES PARA EL FORTALECIMIENTO DE LOS MUNICIPIOS</t>
  </si>
  <si>
    <t>1 1 8 2 002 001</t>
  </si>
  <si>
    <t>APORTACIONES PARA EL FORTALECIMIENTO DE LOS MUNICIPIOS</t>
  </si>
  <si>
    <t>1 1 8 3</t>
  </si>
  <si>
    <t>Convenios</t>
  </si>
  <si>
    <t>1 1 8 3 001</t>
  </si>
  <si>
    <t>PROVENIENTES DEL GOBIERNO DEL ESTADO</t>
  </si>
  <si>
    <t>1 1 8 3 001 003</t>
  </si>
  <si>
    <t>FERTILIZANTE DEL GOBIERNO DEL ESTADO</t>
  </si>
  <si>
    <t>1 1 8 3 001 003 001</t>
  </si>
  <si>
    <t>APORTACION FERTILIZANTE DEL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</si>
</sst>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0\ _P_t_s_-;\-* #,##0.00\ _P_t_s_-;_-* &quot;-&quot;??\ _P_t_s_-;_-@_-"/>
  </numFmts>
  <fonts count="17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indexed="1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8"/>
      <name val="Arial Narrow"/>
      <family val="2"/>
    </font>
    <font>
      <b/>
      <sz val="5"/>
      <name val="Arial"/>
      <family val="2"/>
    </font>
    <font>
      <b/>
      <sz val="6"/>
      <name val="Arial Narrow"/>
      <family val="2"/>
    </font>
    <font>
      <b/>
      <sz val="8"/>
      <name val="Arial"/>
      <family val="2"/>
    </font>
    <font>
      <b/>
      <sz val="6"/>
      <name val="Arial"/>
      <family val="2"/>
    </font>
    <font>
      <b/>
      <u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0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 applyFill="1" applyBorder="1"/>
    <xf numFmtId="4" fontId="3" fillId="0" borderId="0" xfId="0" applyNumberFormat="1" applyFont="1" applyFill="1" applyAlignment="1">
      <alignment horizontal="right" vertical="center"/>
    </xf>
    <xf numFmtId="43" fontId="1" fillId="0" borderId="0" xfId="1" applyFont="1" applyFill="1" applyBorder="1"/>
    <xf numFmtId="0" fontId="1" fillId="0" borderId="0" xfId="0" applyFont="1" applyBorder="1"/>
    <xf numFmtId="0" fontId="0" fillId="2" borderId="4" xfId="0" applyFill="1" applyBorder="1"/>
    <xf numFmtId="0" fontId="5" fillId="2" borderId="0" xfId="0" applyFont="1" applyFill="1" applyBorder="1" applyAlignment="1">
      <alignment horizontal="left" vertical="top"/>
    </xf>
    <xf numFmtId="0" fontId="0" fillId="2" borderId="5" xfId="0" applyFill="1" applyBorder="1"/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Border="1"/>
    <xf numFmtId="0" fontId="6" fillId="2" borderId="4" xfId="0" applyFont="1" applyFill="1" applyBorder="1"/>
    <xf numFmtId="0" fontId="7" fillId="2" borderId="0" xfId="0" applyFont="1" applyFill="1" applyBorder="1" applyAlignment="1">
      <alignment horizontal="center" vertical="top"/>
    </xf>
    <xf numFmtId="0" fontId="6" fillId="2" borderId="5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Border="1"/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0" fillId="2" borderId="6" xfId="0" applyFill="1" applyBorder="1"/>
    <xf numFmtId="0" fontId="8" fillId="2" borderId="7" xfId="0" applyFont="1" applyFill="1" applyBorder="1" applyAlignment="1">
      <alignment horizontal="center" vertical="top"/>
    </xf>
    <xf numFmtId="0" fontId="0" fillId="2" borderId="8" xfId="0" applyFill="1" applyBorder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" fontId="0" fillId="0" borderId="0" xfId="0" applyNumberFormat="1" applyFill="1" applyBorder="1"/>
    <xf numFmtId="4" fontId="3" fillId="0" borderId="0" xfId="0" applyNumberFormat="1" applyFont="1" applyAlignment="1">
      <alignment horizontal="right" vertical="center"/>
    </xf>
    <xf numFmtId="43" fontId="0" fillId="0" borderId="0" xfId="1" applyFont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top"/>
    </xf>
    <xf numFmtId="0" fontId="11" fillId="2" borderId="11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/>
    </xf>
    <xf numFmtId="4" fontId="12" fillId="0" borderId="1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43" fontId="1" fillId="0" borderId="0" xfId="1" applyFont="1" applyBorder="1" applyAlignment="1">
      <alignment vertical="top"/>
    </xf>
    <xf numFmtId="0" fontId="13" fillId="2" borderId="12" xfId="0" applyFont="1" applyFill="1" applyBorder="1" applyAlignment="1">
      <alignment horizontal="left" vertical="top"/>
    </xf>
    <xf numFmtId="0" fontId="13" fillId="2" borderId="12" xfId="0" quotePrefix="1" applyFont="1" applyFill="1" applyBorder="1" applyAlignment="1">
      <alignment horizontal="left" vertical="top"/>
    </xf>
    <xf numFmtId="4" fontId="12" fillId="2" borderId="12" xfId="0" quotePrefix="1" applyNumberFormat="1" applyFont="1" applyFill="1" applyBorder="1" applyAlignment="1">
      <alignment vertical="top"/>
    </xf>
    <xf numFmtId="4" fontId="14" fillId="2" borderId="12" xfId="0" quotePrefix="1" applyNumberFormat="1" applyFont="1" applyFill="1" applyBorder="1" applyAlignment="1">
      <alignment vertical="top"/>
    </xf>
    <xf numFmtId="43" fontId="1" fillId="0" borderId="0" xfId="1" applyFont="1" applyFill="1" applyBorder="1" applyAlignment="1">
      <alignment vertical="top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4" fontId="1" fillId="0" borderId="12" xfId="0" applyNumberFormat="1" applyFont="1" applyBorder="1" applyAlignment="1">
      <alignment vertical="top"/>
    </xf>
    <xf numFmtId="4" fontId="14" fillId="0" borderId="12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vertical="top"/>
    </xf>
    <xf numFmtId="0" fontId="12" fillId="3" borderId="12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vertical="top"/>
    </xf>
    <xf numFmtId="4" fontId="14" fillId="3" borderId="12" xfId="0" applyNumberFormat="1" applyFont="1" applyFill="1" applyBorder="1" applyAlignment="1">
      <alignment horizontal="right" vertical="center"/>
    </xf>
    <xf numFmtId="4" fontId="12" fillId="3" borderId="12" xfId="0" applyNumberFormat="1" applyFont="1" applyFill="1" applyBorder="1" applyAlignment="1">
      <alignment horizontal="right" vertical="center"/>
    </xf>
    <xf numFmtId="43" fontId="1" fillId="3" borderId="0" xfId="1" applyFont="1" applyFill="1" applyBorder="1" applyAlignment="1">
      <alignment vertical="top"/>
    </xf>
    <xf numFmtId="0" fontId="3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3" fillId="4" borderId="12" xfId="0" applyNumberFormat="1" applyFont="1" applyFill="1" applyBorder="1" applyAlignment="1">
      <alignment horizontal="right" vertical="center"/>
    </xf>
    <xf numFmtId="4" fontId="1" fillId="4" borderId="0" xfId="0" applyNumberFormat="1" applyFont="1" applyFill="1" applyBorder="1" applyAlignment="1">
      <alignment vertical="top"/>
    </xf>
    <xf numFmtId="4" fontId="14" fillId="0" borderId="12" xfId="0" applyNumberFormat="1" applyFont="1" applyFill="1" applyBorder="1" applyAlignment="1">
      <alignment horizontal="right" vertical="center"/>
    </xf>
    <xf numFmtId="4" fontId="12" fillId="0" borderId="12" xfId="0" applyNumberFormat="1" applyFont="1" applyFill="1" applyBorder="1" applyAlignment="1">
      <alignment horizontal="right" vertical="center"/>
    </xf>
    <xf numFmtId="9" fontId="1" fillId="0" borderId="0" xfId="1" applyNumberFormat="1" applyFont="1" applyBorder="1" applyAlignment="1">
      <alignment vertical="top"/>
    </xf>
    <xf numFmtId="9" fontId="3" fillId="0" borderId="0" xfId="2" applyFont="1" applyAlignment="1">
      <alignment horizontal="right" vertical="center"/>
    </xf>
    <xf numFmtId="4" fontId="12" fillId="0" borderId="0" xfId="0" applyNumberFormat="1" applyFont="1" applyFill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3" fontId="12" fillId="0" borderId="0" xfId="1" applyFont="1" applyAlignment="1">
      <alignment horizontal="right" vertical="center"/>
    </xf>
    <xf numFmtId="4" fontId="1" fillId="3" borderId="0" xfId="0" applyNumberFormat="1" applyFont="1" applyFill="1" applyBorder="1" applyAlignment="1">
      <alignment vertical="top"/>
    </xf>
    <xf numFmtId="0" fontId="12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4" fontId="1" fillId="0" borderId="12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4" fontId="14" fillId="0" borderId="12" xfId="0" applyNumberFormat="1" applyFont="1" applyBorder="1" applyAlignment="1">
      <alignment vertical="top"/>
    </xf>
    <xf numFmtId="0" fontId="16" fillId="0" borderId="12" xfId="0" applyFont="1" applyFill="1" applyBorder="1" applyAlignment="1">
      <alignment horizontal="left" vertical="center"/>
    </xf>
    <xf numFmtId="164" fontId="14" fillId="0" borderId="12" xfId="0" applyNumberFormat="1" applyFont="1" applyFill="1" applyBorder="1" applyAlignment="1">
      <alignment horizontal="right" vertical="center"/>
    </xf>
    <xf numFmtId="164" fontId="12" fillId="0" borderId="12" xfId="0" applyNumberFormat="1" applyFont="1" applyFill="1" applyBorder="1" applyAlignment="1">
      <alignment horizontal="right" vertical="center"/>
    </xf>
    <xf numFmtId="164" fontId="12" fillId="0" borderId="12" xfId="0" applyNumberFormat="1" applyFont="1" applyBorder="1" applyAlignment="1">
      <alignment horizontal="right" vertical="center"/>
    </xf>
    <xf numFmtId="4" fontId="12" fillId="3" borderId="0" xfId="0" applyNumberFormat="1" applyFont="1" applyFill="1" applyAlignment="1">
      <alignment horizontal="right" vertical="center"/>
    </xf>
    <xf numFmtId="165" fontId="1" fillId="0" borderId="0" xfId="3" applyFont="1" applyBorder="1" applyAlignment="1">
      <alignment vertical="top"/>
    </xf>
    <xf numFmtId="43" fontId="1" fillId="0" borderId="0" xfId="0" applyNumberFormat="1" applyFont="1" applyBorder="1" applyAlignment="1">
      <alignment vertical="top"/>
    </xf>
    <xf numFmtId="0" fontId="1" fillId="0" borderId="0" xfId="0" quotePrefix="1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4" fontId="1" fillId="0" borderId="0" xfId="0" quotePrefix="1" applyNumberFormat="1" applyFont="1" applyBorder="1" applyAlignment="1">
      <alignment vertical="top"/>
    </xf>
    <xf numFmtId="4" fontId="14" fillId="0" borderId="0" xfId="0" quotePrefix="1" applyNumberFormat="1" applyFont="1" applyBorder="1" applyAlignment="1">
      <alignment vertical="top"/>
    </xf>
    <xf numFmtId="4" fontId="14" fillId="0" borderId="0" xfId="0" applyNumberFormat="1" applyFont="1" applyBorder="1" applyAlignment="1">
      <alignment vertical="top"/>
    </xf>
    <xf numFmtId="0" fontId="14" fillId="0" borderId="0" xfId="0" quotePrefix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969251" cy="68317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969251" cy="6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1701800</xdr:colOff>
      <xdr:row>0</xdr:row>
      <xdr:rowOff>57150</xdr:rowOff>
    </xdr:from>
    <xdr:ext cx="971550" cy="68317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0" y="57150"/>
          <a:ext cx="971550" cy="6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3"/>
  <sheetViews>
    <sheetView tabSelected="1" zoomScale="150" zoomScaleNormal="150" workbookViewId="0">
      <pane xSplit="5" ySplit="12" topLeftCell="F69" activePane="bottomRight" state="frozen"/>
      <selection pane="topRight" activeCell="E1" sqref="E1"/>
      <selection pane="bottomLeft" activeCell="A13" sqref="A13"/>
      <selection pane="bottomRight" activeCell="B9" sqref="B9:E11"/>
    </sheetView>
  </sheetViews>
  <sheetFormatPr baseColWidth="10" defaultColWidth="9.140625" defaultRowHeight="11.25" x14ac:dyDescent="0.2"/>
  <cols>
    <col min="1" max="1" width="0.7109375" style="49" customWidth="1"/>
    <col min="2" max="3" width="11.42578125" style="29" customWidth="1"/>
    <col min="4" max="4" width="9" style="99" customWidth="1"/>
    <col min="5" max="5" width="41.28515625" style="45" customWidth="1"/>
    <col min="6" max="6" width="11.42578125" style="45" customWidth="1"/>
    <col min="7" max="11" width="8.5703125" style="45" hidden="1" customWidth="1"/>
    <col min="12" max="17" width="8.5703125" style="49" hidden="1" customWidth="1"/>
    <col min="18" max="18" width="9" style="49" hidden="1" customWidth="1"/>
    <col min="19" max="19" width="0.7109375" style="49" customWidth="1"/>
    <col min="20" max="25" width="11.140625" style="29" customWidth="1"/>
    <col min="26" max="32" width="12" style="49" customWidth="1"/>
    <col min="33" max="33" width="10.5703125" style="32" customWidth="1"/>
    <col min="34" max="34" width="10.5703125" style="51" customWidth="1"/>
    <col min="35" max="35" width="13.7109375" style="49" customWidth="1"/>
    <col min="36" max="36" width="13.7109375" style="49" bestFit="1" customWidth="1"/>
    <col min="37" max="37" width="9.140625" style="49"/>
    <col min="38" max="38" width="11.5703125" style="49" bestFit="1" customWidth="1"/>
    <col min="39" max="16384" width="9.140625" style="49"/>
  </cols>
  <sheetData>
    <row r="1" spans="1:36" s="11" customFormat="1" ht="5.25" customHeight="1" x14ac:dyDescent="0.2">
      <c r="A1" s="1"/>
      <c r="B1" s="2"/>
      <c r="C1" s="2"/>
      <c r="D1" s="3"/>
      <c r="E1" s="4"/>
      <c r="F1" s="4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  <c r="AH1" s="10"/>
    </row>
    <row r="2" spans="1:36" s="17" customFormat="1" ht="13.5" customHeight="1" x14ac:dyDescent="0.2">
      <c r="A2" s="12"/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9"/>
      <c r="AH2" s="16"/>
    </row>
    <row r="3" spans="1:36" s="23" customFormat="1" ht="13.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9"/>
      <c r="AH3" s="22"/>
    </row>
    <row r="4" spans="1:36" s="23" customFormat="1" ht="13.5" customHeight="1" x14ac:dyDescent="0.2">
      <c r="A4" s="1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9"/>
      <c r="AH4" s="22"/>
    </row>
    <row r="5" spans="1:36" s="23" customFormat="1" ht="13.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9"/>
      <c r="AH5" s="22"/>
    </row>
    <row r="6" spans="1:36" s="17" customFormat="1" ht="13.5" customHeight="1" x14ac:dyDescent="0.2">
      <c r="A6" s="12"/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9"/>
      <c r="AH6" s="16"/>
    </row>
    <row r="7" spans="1:36" s="17" customFormat="1" ht="13.5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9"/>
      <c r="AH7" s="16"/>
    </row>
    <row r="8" spans="1:36" s="17" customFormat="1" ht="13.5" customHeight="1" x14ac:dyDescent="0.2">
      <c r="B8" s="29"/>
      <c r="C8" s="29"/>
      <c r="D8" s="30"/>
      <c r="E8" s="29"/>
      <c r="F8" s="29"/>
      <c r="G8" s="29"/>
      <c r="H8" s="29"/>
      <c r="I8" s="29"/>
      <c r="J8" s="29"/>
      <c r="K8" s="31"/>
      <c r="L8" s="15"/>
      <c r="M8" s="15"/>
      <c r="N8" s="15"/>
      <c r="O8" s="15"/>
      <c r="P8" s="15"/>
      <c r="Q8" s="15"/>
      <c r="T8" s="15"/>
      <c r="U8" s="15"/>
      <c r="V8" s="15"/>
      <c r="W8" s="15"/>
      <c r="X8" s="15"/>
      <c r="Y8" s="15"/>
      <c r="AG8" s="32"/>
      <c r="AH8" s="33"/>
    </row>
    <row r="9" spans="1:36" s="17" customFormat="1" ht="16.5" customHeight="1" x14ac:dyDescent="0.2">
      <c r="B9" s="34" t="s">
        <v>2</v>
      </c>
      <c r="C9" s="35"/>
      <c r="D9" s="35"/>
      <c r="E9" s="36"/>
      <c r="F9" s="37" t="s">
        <v>3</v>
      </c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  <c r="T9" s="15"/>
      <c r="U9" s="15"/>
      <c r="V9" s="15"/>
      <c r="W9" s="15"/>
      <c r="X9" s="15"/>
      <c r="Y9" s="15"/>
      <c r="AG9" s="32"/>
      <c r="AH9" s="33"/>
    </row>
    <row r="10" spans="1:36" s="17" customFormat="1" ht="16.5" customHeight="1" x14ac:dyDescent="0.2">
      <c r="B10" s="38"/>
      <c r="C10" s="39"/>
      <c r="D10" s="39"/>
      <c r="E10" s="40"/>
      <c r="F10" s="41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  <c r="T10" s="15"/>
      <c r="U10" s="15"/>
      <c r="V10" s="15"/>
      <c r="W10" s="15"/>
      <c r="X10" s="15"/>
      <c r="Y10" s="15"/>
      <c r="AG10" s="32"/>
      <c r="AH10" s="33"/>
      <c r="AI10" s="45">
        <f>+AI326</f>
        <v>124688911.99840002</v>
      </c>
    </row>
    <row r="11" spans="1:36" s="17" customFormat="1" ht="16.5" customHeight="1" x14ac:dyDescent="0.2">
      <c r="B11" s="42"/>
      <c r="C11" s="43"/>
      <c r="D11" s="43"/>
      <c r="E11" s="44"/>
      <c r="F11" s="46"/>
      <c r="G11" s="47" t="s">
        <v>4</v>
      </c>
      <c r="H11" s="47" t="s">
        <v>5</v>
      </c>
      <c r="I11" s="47" t="s">
        <v>6</v>
      </c>
      <c r="J11" s="47" t="s">
        <v>7</v>
      </c>
      <c r="K11" s="47" t="s">
        <v>8</v>
      </c>
      <c r="L11" s="47" t="s">
        <v>9</v>
      </c>
      <c r="M11" s="47" t="s">
        <v>10</v>
      </c>
      <c r="N11" s="47" t="s">
        <v>11</v>
      </c>
      <c r="O11" s="47" t="s">
        <v>12</v>
      </c>
      <c r="P11" s="47" t="s">
        <v>13</v>
      </c>
      <c r="Q11" s="47" t="s">
        <v>14</v>
      </c>
      <c r="R11" s="47" t="s">
        <v>15</v>
      </c>
      <c r="T11" s="15"/>
      <c r="U11" s="15"/>
      <c r="V11" s="15"/>
      <c r="W11" s="15"/>
      <c r="X11" s="15"/>
      <c r="Y11" s="15"/>
      <c r="Z11" s="48">
        <f>+Z13</f>
        <v>123203840.00000001</v>
      </c>
      <c r="AA11" s="45">
        <f>+Z11-F14</f>
        <v>-1485071.9984000027</v>
      </c>
      <c r="AG11" s="32"/>
      <c r="AH11" s="33"/>
      <c r="AI11" s="45">
        <f>+AI10-F13</f>
        <v>0</v>
      </c>
    </row>
    <row r="12" spans="1:36" ht="3.75" customHeight="1" x14ac:dyDescent="0.2">
      <c r="B12" s="50"/>
      <c r="C12" s="50"/>
      <c r="D12" s="50"/>
      <c r="F12" s="49"/>
    </row>
    <row r="13" spans="1:36" x14ac:dyDescent="0.2">
      <c r="B13" s="52" t="s">
        <v>16</v>
      </c>
      <c r="C13" s="52"/>
      <c r="D13" s="53"/>
      <c r="E13" s="54"/>
      <c r="F13" s="55">
        <f>+F14</f>
        <v>124688911.99840002</v>
      </c>
      <c r="G13" s="54">
        <f t="shared" ref="G13:Z14" si="0">+G14</f>
        <v>10873699.416300002</v>
      </c>
      <c r="H13" s="54">
        <f t="shared" si="0"/>
        <v>11577852.4406</v>
      </c>
      <c r="I13" s="54">
        <f t="shared" si="0"/>
        <v>12978157.940399999</v>
      </c>
      <c r="J13" s="54">
        <f t="shared" si="0"/>
        <v>10031841.621900002</v>
      </c>
      <c r="K13" s="54">
        <f t="shared" si="0"/>
        <v>11080474.4778</v>
      </c>
      <c r="L13" s="54">
        <f t="shared" si="0"/>
        <v>11244459.866900001</v>
      </c>
      <c r="M13" s="54">
        <f t="shared" si="0"/>
        <v>11156856.4538</v>
      </c>
      <c r="N13" s="54">
        <f t="shared" si="0"/>
        <v>10366297.7038</v>
      </c>
      <c r="O13" s="54">
        <f t="shared" si="0"/>
        <v>11041068.5397</v>
      </c>
      <c r="P13" s="54">
        <f t="shared" si="0"/>
        <v>9676657.5080000013</v>
      </c>
      <c r="Q13" s="54">
        <f t="shared" si="0"/>
        <v>6314194.3811999997</v>
      </c>
      <c r="R13" s="54">
        <f t="shared" si="0"/>
        <v>6862279.648</v>
      </c>
      <c r="S13" s="29"/>
      <c r="Z13" s="54">
        <f t="shared" si="0"/>
        <v>123203840.00000001</v>
      </c>
      <c r="AA13" s="29"/>
      <c r="AB13" s="29"/>
      <c r="AC13" s="29"/>
      <c r="AD13" s="29"/>
      <c r="AE13" s="29"/>
      <c r="AF13" s="29"/>
      <c r="AH13" s="56"/>
    </row>
    <row r="14" spans="1:36" ht="24.75" x14ac:dyDescent="0.2">
      <c r="B14" s="57" t="s">
        <v>17</v>
      </c>
      <c r="C14" s="58" t="s">
        <v>18</v>
      </c>
      <c r="D14" s="59" t="s">
        <v>19</v>
      </c>
      <c r="E14" s="60"/>
      <c r="F14" s="61">
        <f>+F15</f>
        <v>124688911.99840002</v>
      </c>
      <c r="G14" s="48">
        <f t="shared" si="0"/>
        <v>10873699.416300002</v>
      </c>
      <c r="H14" s="48">
        <f t="shared" si="0"/>
        <v>11577852.4406</v>
      </c>
      <c r="I14" s="48">
        <f t="shared" si="0"/>
        <v>12978157.940399999</v>
      </c>
      <c r="J14" s="48">
        <f t="shared" si="0"/>
        <v>10031841.621900002</v>
      </c>
      <c r="K14" s="48">
        <f t="shared" si="0"/>
        <v>11080474.4778</v>
      </c>
      <c r="L14" s="48">
        <f t="shared" si="0"/>
        <v>11244459.866900001</v>
      </c>
      <c r="M14" s="48">
        <f t="shared" si="0"/>
        <v>11156856.4538</v>
      </c>
      <c r="N14" s="48">
        <f t="shared" si="0"/>
        <v>10366297.7038</v>
      </c>
      <c r="O14" s="48">
        <f t="shared" si="0"/>
        <v>11041068.5397</v>
      </c>
      <c r="P14" s="48">
        <f t="shared" si="0"/>
        <v>9676657.5080000013</v>
      </c>
      <c r="Q14" s="48">
        <f t="shared" si="0"/>
        <v>6314194.3811999997</v>
      </c>
      <c r="R14" s="48">
        <f t="shared" si="0"/>
        <v>6862279.648</v>
      </c>
      <c r="Z14" s="48">
        <f t="shared" si="0"/>
        <v>123203840.00000001</v>
      </c>
      <c r="AJ14" s="45">
        <f>SUM(AI18:AI298)</f>
        <v>14136215.262400005</v>
      </c>
    </row>
    <row r="15" spans="1:36" x14ac:dyDescent="0.2">
      <c r="B15" s="57" t="s">
        <v>20</v>
      </c>
      <c r="C15" s="57"/>
      <c r="D15" s="59" t="s">
        <v>21</v>
      </c>
      <c r="E15" s="60"/>
      <c r="F15" s="61">
        <f t="shared" ref="F15:R15" si="1">+F16+F69+F244+F277+F295+F299</f>
        <v>124688911.99840002</v>
      </c>
      <c r="G15" s="48">
        <f t="shared" si="1"/>
        <v>10873699.416300002</v>
      </c>
      <c r="H15" s="48">
        <f t="shared" si="1"/>
        <v>11577852.4406</v>
      </c>
      <c r="I15" s="48">
        <f t="shared" si="1"/>
        <v>12978157.940399999</v>
      </c>
      <c r="J15" s="48">
        <f t="shared" si="1"/>
        <v>10031841.621900002</v>
      </c>
      <c r="K15" s="48">
        <f t="shared" si="1"/>
        <v>11080474.4778</v>
      </c>
      <c r="L15" s="48">
        <f t="shared" si="1"/>
        <v>11244459.866900001</v>
      </c>
      <c r="M15" s="48">
        <f t="shared" si="1"/>
        <v>11156856.4538</v>
      </c>
      <c r="N15" s="48">
        <f t="shared" si="1"/>
        <v>10366297.7038</v>
      </c>
      <c r="O15" s="48">
        <f t="shared" si="1"/>
        <v>11041068.5397</v>
      </c>
      <c r="P15" s="48">
        <f t="shared" si="1"/>
        <v>9676657.5080000013</v>
      </c>
      <c r="Q15" s="48">
        <f t="shared" si="1"/>
        <v>6314194.3811999997</v>
      </c>
      <c r="R15" s="48">
        <f t="shared" si="1"/>
        <v>6862279.648</v>
      </c>
      <c r="Z15" s="48">
        <f>+Z16+Z69+Z244+Z277+Z295+Z299</f>
        <v>123203840.00000001</v>
      </c>
      <c r="AA15" s="45">
        <f t="shared" ref="AA15:AA78" si="2">+Z15-F15</f>
        <v>-1485071.9984000027</v>
      </c>
    </row>
    <row r="16" spans="1:36" s="62" customFormat="1" x14ac:dyDescent="0.2">
      <c r="B16" s="63" t="s">
        <v>22</v>
      </c>
      <c r="C16" s="63"/>
      <c r="D16" s="64" t="s">
        <v>23</v>
      </c>
      <c r="E16" s="65"/>
      <c r="F16" s="66">
        <f t="shared" ref="F16:R16" si="3">+F17+F26+F46+F56</f>
        <v>2695047.2448000005</v>
      </c>
      <c r="G16" s="67">
        <f t="shared" si="3"/>
        <v>632469.56000000006</v>
      </c>
      <c r="H16" s="67">
        <f t="shared" si="3"/>
        <v>242199.70200000002</v>
      </c>
      <c r="I16" s="67">
        <f t="shared" si="3"/>
        <v>222719.96799999999</v>
      </c>
      <c r="J16" s="67">
        <f t="shared" si="3"/>
        <v>208597.07</v>
      </c>
      <c r="K16" s="67">
        <f t="shared" si="3"/>
        <v>210766.46900000001</v>
      </c>
      <c r="L16" s="67">
        <f t="shared" si="3"/>
        <v>193307.948</v>
      </c>
      <c r="M16" s="67">
        <f t="shared" si="3"/>
        <v>162555.96499999997</v>
      </c>
      <c r="N16" s="67">
        <f t="shared" si="3"/>
        <v>162245.05500000002</v>
      </c>
      <c r="O16" s="67">
        <f t="shared" si="3"/>
        <v>248603.94700000001</v>
      </c>
      <c r="P16" s="67">
        <f t="shared" si="3"/>
        <v>149450.81350000002</v>
      </c>
      <c r="Q16" s="67">
        <f t="shared" si="3"/>
        <v>133960.2781</v>
      </c>
      <c r="R16" s="67">
        <f t="shared" si="3"/>
        <v>128170.46920000002</v>
      </c>
      <c r="T16" s="29"/>
      <c r="U16" s="29"/>
      <c r="V16" s="29"/>
      <c r="W16" s="29"/>
      <c r="X16" s="29"/>
      <c r="Y16" s="29"/>
      <c r="Z16" s="67">
        <f>+Z17+Z26+Z46+Z56</f>
        <v>2695047.24</v>
      </c>
      <c r="AA16" s="45">
        <f t="shared" si="2"/>
        <v>-4.8000002279877663E-3</v>
      </c>
      <c r="AG16" s="32"/>
      <c r="AH16" s="68"/>
    </row>
    <row r="17" spans="2:35" x14ac:dyDescent="0.2">
      <c r="B17" s="57" t="s">
        <v>24</v>
      </c>
      <c r="C17" s="57"/>
      <c r="D17" s="59" t="s">
        <v>25</v>
      </c>
      <c r="E17" s="60"/>
      <c r="F17" s="61">
        <f>SUM(F18:F25)</f>
        <v>14503.9848</v>
      </c>
      <c r="G17" s="48">
        <f t="shared" ref="G17:R17" si="4">SUM(G18:G25)</f>
        <v>1708.29</v>
      </c>
      <c r="H17" s="48">
        <f t="shared" si="4"/>
        <v>1488.7099999999998</v>
      </c>
      <c r="I17" s="48">
        <f t="shared" si="4"/>
        <v>551.71</v>
      </c>
      <c r="J17" s="48">
        <f t="shared" si="4"/>
        <v>1245.8500000000001</v>
      </c>
      <c r="K17" s="48">
        <f t="shared" si="4"/>
        <v>462.17</v>
      </c>
      <c r="L17" s="48">
        <f t="shared" si="4"/>
        <v>770.23</v>
      </c>
      <c r="M17" s="48">
        <f t="shared" si="4"/>
        <v>0</v>
      </c>
      <c r="N17" s="48">
        <f t="shared" si="4"/>
        <v>0</v>
      </c>
      <c r="O17" s="48">
        <f t="shared" si="4"/>
        <v>1694.59</v>
      </c>
      <c r="P17" s="48">
        <f t="shared" si="4"/>
        <v>954.48</v>
      </c>
      <c r="Q17" s="48">
        <f t="shared" si="4"/>
        <v>3286.5686000000001</v>
      </c>
      <c r="R17" s="48">
        <f t="shared" si="4"/>
        <v>2341.3862000000004</v>
      </c>
      <c r="Z17" s="48">
        <f t="shared" ref="Z17" si="5">SUM(Z18:Z25)</f>
        <v>14503.980000000001</v>
      </c>
      <c r="AA17" s="45">
        <f t="shared" si="2"/>
        <v>-4.7999999987951014E-3</v>
      </c>
    </row>
    <row r="18" spans="2:35" x14ac:dyDescent="0.2">
      <c r="B18" s="69" t="s">
        <v>26</v>
      </c>
      <c r="C18" s="69" t="s">
        <v>27</v>
      </c>
      <c r="D18" s="70" t="s">
        <v>28</v>
      </c>
      <c r="E18" s="60"/>
      <c r="F18" s="71">
        <f t="shared" ref="F18:F25" si="6">SUM(G18:R18)</f>
        <v>500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500</v>
      </c>
      <c r="Q18" s="72">
        <v>0</v>
      </c>
      <c r="R18" s="72">
        <v>0</v>
      </c>
      <c r="Z18" s="72">
        <v>500</v>
      </c>
      <c r="AA18" s="45">
        <f t="shared" si="2"/>
        <v>0</v>
      </c>
      <c r="AI18" s="45">
        <f t="shared" ref="AI18:AI25" si="7">+F18</f>
        <v>500</v>
      </c>
    </row>
    <row r="19" spans="2:35" x14ac:dyDescent="0.2">
      <c r="B19" s="69" t="s">
        <v>29</v>
      </c>
      <c r="C19" s="69" t="s">
        <v>27</v>
      </c>
      <c r="D19" s="70" t="s">
        <v>30</v>
      </c>
      <c r="E19" s="60"/>
      <c r="F19" s="71">
        <f t="shared" si="6"/>
        <v>1047.82</v>
      </c>
      <c r="G19" s="72">
        <v>300</v>
      </c>
      <c r="H19" s="72">
        <v>0</v>
      </c>
      <c r="I19" s="72">
        <v>0</v>
      </c>
      <c r="J19" s="72">
        <v>447.82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300</v>
      </c>
      <c r="R19" s="72">
        <v>0</v>
      </c>
      <c r="Z19" s="72">
        <v>1047.82</v>
      </c>
      <c r="AA19" s="45">
        <f t="shared" si="2"/>
        <v>0</v>
      </c>
      <c r="AI19" s="45">
        <f t="shared" si="7"/>
        <v>1047.82</v>
      </c>
    </row>
    <row r="20" spans="2:35" x14ac:dyDescent="0.2">
      <c r="B20" s="69" t="s">
        <v>31</v>
      </c>
      <c r="C20" s="69" t="s">
        <v>27</v>
      </c>
      <c r="D20" s="70" t="s">
        <v>32</v>
      </c>
      <c r="E20" s="60"/>
      <c r="F20" s="73">
        <f t="shared" si="6"/>
        <v>2286.79</v>
      </c>
      <c r="G20" s="74">
        <v>0</v>
      </c>
      <c r="H20" s="74">
        <v>256.33999999999997</v>
      </c>
      <c r="I20" s="74">
        <v>0</v>
      </c>
      <c r="J20" s="74">
        <v>335.86</v>
      </c>
      <c r="K20" s="74">
        <v>0</v>
      </c>
      <c r="L20" s="74">
        <v>0</v>
      </c>
      <c r="M20" s="74">
        <v>0</v>
      </c>
      <c r="N20" s="74">
        <v>0</v>
      </c>
      <c r="O20" s="74">
        <v>1694.59</v>
      </c>
      <c r="P20" s="74">
        <v>0</v>
      </c>
      <c r="Q20" s="74">
        <v>0</v>
      </c>
      <c r="R20" s="74">
        <v>0</v>
      </c>
      <c r="S20" s="29"/>
      <c r="Z20" s="72">
        <v>2286.79</v>
      </c>
      <c r="AA20" s="45">
        <f t="shared" si="2"/>
        <v>0</v>
      </c>
      <c r="AI20" s="45">
        <f t="shared" si="7"/>
        <v>2286.79</v>
      </c>
    </row>
    <row r="21" spans="2:35" x14ac:dyDescent="0.2">
      <c r="B21" s="69" t="s">
        <v>33</v>
      </c>
      <c r="C21" s="69" t="s">
        <v>27</v>
      </c>
      <c r="D21" s="70" t="s">
        <v>34</v>
      </c>
      <c r="E21" s="60"/>
      <c r="F21" s="73">
        <f t="shared" si="6"/>
        <v>447.73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447.73</v>
      </c>
      <c r="S21" s="29"/>
      <c r="Z21" s="75">
        <v>447.73</v>
      </c>
      <c r="AA21" s="45">
        <f t="shared" si="2"/>
        <v>0</v>
      </c>
      <c r="AI21" s="45">
        <f t="shared" si="7"/>
        <v>447.73</v>
      </c>
    </row>
    <row r="22" spans="2:35" x14ac:dyDescent="0.2">
      <c r="B22" s="69" t="s">
        <v>35</v>
      </c>
      <c r="C22" s="69" t="s">
        <v>27</v>
      </c>
      <c r="D22" s="70" t="s">
        <v>36</v>
      </c>
      <c r="E22" s="60"/>
      <c r="F22" s="73">
        <f t="shared" si="6"/>
        <v>9100.5999999999985</v>
      </c>
      <c r="G22" s="74">
        <v>1077.17</v>
      </c>
      <c r="H22" s="74">
        <v>1232.3699999999999</v>
      </c>
      <c r="I22" s="74">
        <v>551.71</v>
      </c>
      <c r="J22" s="74">
        <v>462.17</v>
      </c>
      <c r="K22" s="74">
        <v>462.17</v>
      </c>
      <c r="L22" s="74">
        <v>770.23</v>
      </c>
      <c r="M22" s="74">
        <v>0</v>
      </c>
      <c r="N22" s="74">
        <v>0</v>
      </c>
      <c r="O22" s="74">
        <v>0</v>
      </c>
      <c r="P22" s="74">
        <v>454.48</v>
      </c>
      <c r="Q22" s="74">
        <v>2272.39</v>
      </c>
      <c r="R22" s="74">
        <v>1817.91</v>
      </c>
      <c r="S22" s="29"/>
      <c r="Z22" s="75">
        <v>9100.6</v>
      </c>
      <c r="AA22" s="76">
        <f t="shared" si="2"/>
        <v>0</v>
      </c>
      <c r="AI22" s="45">
        <f t="shared" si="7"/>
        <v>9100.5999999999985</v>
      </c>
    </row>
    <row r="23" spans="2:35" x14ac:dyDescent="0.2">
      <c r="B23" s="69" t="s">
        <v>37</v>
      </c>
      <c r="C23" s="69" t="s">
        <v>27</v>
      </c>
      <c r="D23" s="70" t="s">
        <v>38</v>
      </c>
      <c r="E23" s="60"/>
      <c r="F23" s="73">
        <f t="shared" si="6"/>
        <v>331.12</v>
      </c>
      <c r="G23" s="74">
        <v>331.12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29"/>
      <c r="Z23" s="72">
        <v>331.12</v>
      </c>
      <c r="AA23" s="45">
        <f t="shared" si="2"/>
        <v>0</v>
      </c>
      <c r="AI23" s="45">
        <f t="shared" si="7"/>
        <v>331.12</v>
      </c>
    </row>
    <row r="24" spans="2:35" x14ac:dyDescent="0.2">
      <c r="B24" s="69" t="s">
        <v>39</v>
      </c>
      <c r="C24" s="69" t="s">
        <v>27</v>
      </c>
      <c r="D24" s="70" t="s">
        <v>40</v>
      </c>
      <c r="E24" s="60"/>
      <c r="F24" s="73">
        <f t="shared" si="6"/>
        <v>486.94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486.94</v>
      </c>
      <c r="R24" s="74">
        <v>0</v>
      </c>
      <c r="S24" s="29"/>
      <c r="Z24" s="72">
        <v>486.94</v>
      </c>
      <c r="AA24" s="45">
        <f t="shared" si="2"/>
        <v>0</v>
      </c>
      <c r="AI24" s="45">
        <f t="shared" si="7"/>
        <v>486.94</v>
      </c>
    </row>
    <row r="25" spans="2:35" x14ac:dyDescent="0.2">
      <c r="B25" s="69" t="s">
        <v>41</v>
      </c>
      <c r="C25" s="69" t="s">
        <v>27</v>
      </c>
      <c r="D25" s="70" t="s">
        <v>42</v>
      </c>
      <c r="E25" s="60"/>
      <c r="F25" s="73">
        <f t="shared" si="6"/>
        <v>302.98480000000001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f>220.62*1.03</f>
        <v>227.23860000000002</v>
      </c>
      <c r="R25" s="74">
        <f>73.54*1.03</f>
        <v>75.746200000000002</v>
      </c>
      <c r="S25" s="29"/>
      <c r="Z25" s="72">
        <v>302.98</v>
      </c>
      <c r="AA25" s="45">
        <f t="shared" si="2"/>
        <v>-4.7999999999888132E-3</v>
      </c>
      <c r="AI25" s="45">
        <f t="shared" si="7"/>
        <v>302.98480000000001</v>
      </c>
    </row>
    <row r="26" spans="2:35" x14ac:dyDescent="0.2">
      <c r="B26" s="57" t="s">
        <v>43</v>
      </c>
      <c r="C26" s="57"/>
      <c r="D26" s="59" t="s">
        <v>44</v>
      </c>
      <c r="E26" s="60"/>
      <c r="F26" s="77">
        <f>+F27+F29+F31+F35+F44+F39+F40</f>
        <v>650621.21600000001</v>
      </c>
      <c r="G26" s="78">
        <f t="shared" ref="G26:R26" si="8">+G27+G29+G31+G35+G44+G39</f>
        <v>149546.68</v>
      </c>
      <c r="H26" s="78">
        <f t="shared" si="8"/>
        <v>38230.840000000011</v>
      </c>
      <c r="I26" s="78">
        <f t="shared" si="8"/>
        <v>24505.493999999999</v>
      </c>
      <c r="J26" s="78">
        <f t="shared" si="8"/>
        <v>20188.04</v>
      </c>
      <c r="K26" s="78">
        <f t="shared" si="8"/>
        <v>14986.983</v>
      </c>
      <c r="L26" s="78">
        <f t="shared" si="8"/>
        <v>9332.41</v>
      </c>
      <c r="M26" s="78">
        <f t="shared" si="8"/>
        <v>13666.047666666667</v>
      </c>
      <c r="N26" s="78">
        <f t="shared" si="8"/>
        <v>13776.537666666667</v>
      </c>
      <c r="O26" s="78">
        <f t="shared" si="8"/>
        <v>14309.531666666666</v>
      </c>
      <c r="P26" s="78">
        <f t="shared" si="8"/>
        <v>14232.977500000001</v>
      </c>
      <c r="Q26" s="78">
        <f t="shared" si="8"/>
        <v>16265.449500000001</v>
      </c>
      <c r="R26" s="78">
        <f t="shared" si="8"/>
        <v>4230.7150000000001</v>
      </c>
      <c r="S26" s="29"/>
      <c r="Z26" s="48">
        <f>+Z27+Z29+Z31+Z35+Z44+Z39</f>
        <v>333271.70999999996</v>
      </c>
      <c r="AA26" s="45">
        <f t="shared" si="2"/>
        <v>-317349.50600000005</v>
      </c>
      <c r="AH26" s="51">
        <v>303322.94</v>
      </c>
      <c r="AI26" s="45"/>
    </row>
    <row r="27" spans="2:35" x14ac:dyDescent="0.2">
      <c r="B27" s="57" t="s">
        <v>45</v>
      </c>
      <c r="C27" s="57"/>
      <c r="D27" s="59" t="s">
        <v>46</v>
      </c>
      <c r="E27" s="60"/>
      <c r="F27" s="77">
        <f>+F28</f>
        <v>38780.555</v>
      </c>
      <c r="G27" s="78">
        <f t="shared" ref="G27:Z27" si="9">+G28</f>
        <v>24791.954000000002</v>
      </c>
      <c r="H27" s="78">
        <f t="shared" si="9"/>
        <v>4191.9570000000003</v>
      </c>
      <c r="I27" s="78">
        <f t="shared" si="9"/>
        <v>3178.0210000000002</v>
      </c>
      <c r="J27" s="78">
        <f t="shared" si="9"/>
        <v>617.16599999999994</v>
      </c>
      <c r="K27" s="78">
        <f t="shared" si="9"/>
        <v>758.82400000000007</v>
      </c>
      <c r="L27" s="78">
        <f t="shared" si="9"/>
        <v>1244.441</v>
      </c>
      <c r="M27" s="78">
        <f t="shared" si="9"/>
        <v>904.99933333333331</v>
      </c>
      <c r="N27" s="78">
        <f t="shared" si="9"/>
        <v>904.99933333333331</v>
      </c>
      <c r="O27" s="78">
        <f t="shared" si="9"/>
        <v>904.99933333333331</v>
      </c>
      <c r="P27" s="78">
        <f t="shared" si="9"/>
        <v>258.58800000000002</v>
      </c>
      <c r="Q27" s="78">
        <f t="shared" si="9"/>
        <v>760.3420000000001</v>
      </c>
      <c r="R27" s="78">
        <f t="shared" si="9"/>
        <v>264.26400000000001</v>
      </c>
      <c r="S27" s="29"/>
      <c r="Z27" s="48">
        <f t="shared" si="9"/>
        <v>38780.559999999998</v>
      </c>
      <c r="AA27" s="45">
        <f t="shared" si="2"/>
        <v>4.9999999973806553E-3</v>
      </c>
      <c r="AG27" s="32">
        <f>+F26*AH27/AH26</f>
        <v>2.144978602673441</v>
      </c>
      <c r="AH27" s="79">
        <v>1</v>
      </c>
      <c r="AI27" s="45"/>
    </row>
    <row r="28" spans="2:35" x14ac:dyDescent="0.2">
      <c r="B28" s="69" t="s">
        <v>47</v>
      </c>
      <c r="C28" s="69" t="s">
        <v>27</v>
      </c>
      <c r="D28" s="70" t="s">
        <v>48</v>
      </c>
      <c r="E28" s="60"/>
      <c r="F28" s="73">
        <f>SUM(G28:R28)</f>
        <v>38780.555</v>
      </c>
      <c r="G28" s="74">
        <f>22538.14*1.1</f>
        <v>24791.954000000002</v>
      </c>
      <c r="H28" s="74">
        <f>3810.87*1.1</f>
        <v>4191.9570000000003</v>
      </c>
      <c r="I28" s="74">
        <f>2889.11*1.1</f>
        <v>3178.0210000000002</v>
      </c>
      <c r="J28" s="74">
        <f>561.06*1.1</f>
        <v>617.16599999999994</v>
      </c>
      <c r="K28" s="74">
        <f>689.84*1.1</f>
        <v>758.82400000000007</v>
      </c>
      <c r="L28" s="74">
        <f>1131.31*1.1</f>
        <v>1244.441</v>
      </c>
      <c r="M28" s="74">
        <f>2468.18*1.1/3</f>
        <v>904.99933333333331</v>
      </c>
      <c r="N28" s="74">
        <f t="shared" ref="N28:O28" si="10">2468.18*1.1/3</f>
        <v>904.99933333333331</v>
      </c>
      <c r="O28" s="74">
        <f t="shared" si="10"/>
        <v>904.99933333333331</v>
      </c>
      <c r="P28" s="74">
        <f>235.08*1.1</f>
        <v>258.58800000000002</v>
      </c>
      <c r="Q28" s="74">
        <f>691.22*1.1</f>
        <v>760.3420000000001</v>
      </c>
      <c r="R28" s="74">
        <f>240.24*1.1</f>
        <v>264.26400000000001</v>
      </c>
      <c r="S28" s="29"/>
      <c r="Z28" s="72">
        <v>38780.559999999998</v>
      </c>
      <c r="AA28" s="45">
        <f t="shared" si="2"/>
        <v>4.9999999973806553E-3</v>
      </c>
      <c r="AI28" s="45">
        <f>+F28</f>
        <v>38780.555</v>
      </c>
    </row>
    <row r="29" spans="2:35" x14ac:dyDescent="0.2">
      <c r="B29" s="57" t="s">
        <v>49</v>
      </c>
      <c r="C29" s="57"/>
      <c r="D29" s="59" t="s">
        <v>50</v>
      </c>
      <c r="E29" s="60"/>
      <c r="F29" s="77">
        <f>+F30</f>
        <v>131335.05000000002</v>
      </c>
      <c r="G29" s="78">
        <f t="shared" ref="G29:Z29" si="11">+G30</f>
        <v>70107.543000000005</v>
      </c>
      <c r="H29" s="78">
        <f t="shared" si="11"/>
        <v>16781.743000000002</v>
      </c>
      <c r="I29" s="78">
        <f t="shared" si="11"/>
        <v>11599.709000000001</v>
      </c>
      <c r="J29" s="78">
        <f t="shared" si="11"/>
        <v>6386.1820000000007</v>
      </c>
      <c r="K29" s="78">
        <f t="shared" si="11"/>
        <v>5514.2670000000007</v>
      </c>
      <c r="L29" s="78">
        <f t="shared" si="11"/>
        <v>2871.1979999999999</v>
      </c>
      <c r="M29" s="78">
        <f t="shared" si="11"/>
        <v>3685.7516666666666</v>
      </c>
      <c r="N29" s="78">
        <f t="shared" si="11"/>
        <v>3685.7516666666666</v>
      </c>
      <c r="O29" s="78">
        <f t="shared" si="11"/>
        <v>3685.7516666666666</v>
      </c>
      <c r="P29" s="78">
        <f t="shared" si="11"/>
        <v>1672.4840000000002</v>
      </c>
      <c r="Q29" s="78">
        <f t="shared" si="11"/>
        <v>3612.598</v>
      </c>
      <c r="R29" s="78">
        <f t="shared" si="11"/>
        <v>1732.0710000000001</v>
      </c>
      <c r="S29" s="29"/>
      <c r="Z29" s="48">
        <f t="shared" si="11"/>
        <v>131335.04999999999</v>
      </c>
      <c r="AA29" s="45">
        <f t="shared" si="2"/>
        <v>0</v>
      </c>
      <c r="AI29" s="45"/>
    </row>
    <row r="30" spans="2:35" x14ac:dyDescent="0.2">
      <c r="B30" s="69" t="s">
        <v>51</v>
      </c>
      <c r="C30" s="69" t="s">
        <v>27</v>
      </c>
      <c r="D30" s="70" t="s">
        <v>52</v>
      </c>
      <c r="E30" s="60"/>
      <c r="F30" s="73">
        <f>SUM(G30:R30)</f>
        <v>131335.05000000002</v>
      </c>
      <c r="G30" s="74">
        <f>63734.13*1.1</f>
        <v>70107.543000000005</v>
      </c>
      <c r="H30" s="74">
        <f>15256.13*1.1</f>
        <v>16781.743000000002</v>
      </c>
      <c r="I30" s="74">
        <f>10545.19*1.1</f>
        <v>11599.709000000001</v>
      </c>
      <c r="J30" s="74">
        <f>5805.62*1.1</f>
        <v>6386.1820000000007</v>
      </c>
      <c r="K30" s="74">
        <f>5012.97*1.1</f>
        <v>5514.2670000000007</v>
      </c>
      <c r="L30" s="74">
        <f>2610.18*1.1</f>
        <v>2871.1979999999999</v>
      </c>
      <c r="M30" s="74">
        <f>10052.05*1.1/3</f>
        <v>3685.7516666666666</v>
      </c>
      <c r="N30" s="74">
        <f>10052.05*1.1/3</f>
        <v>3685.7516666666666</v>
      </c>
      <c r="O30" s="74">
        <f>10052.05*1.1/3</f>
        <v>3685.7516666666666</v>
      </c>
      <c r="P30" s="74">
        <f>1520.44*1.1</f>
        <v>1672.4840000000002</v>
      </c>
      <c r="Q30" s="74">
        <f>3284.18*1.1</f>
        <v>3612.598</v>
      </c>
      <c r="R30" s="74">
        <f>1574.61*1.1</f>
        <v>1732.0710000000001</v>
      </c>
      <c r="S30" s="29"/>
      <c r="Z30" s="72">
        <v>131335.04999999999</v>
      </c>
      <c r="AA30" s="45">
        <f t="shared" si="2"/>
        <v>0</v>
      </c>
      <c r="AI30" s="45">
        <f>+F30</f>
        <v>131335.05000000002</v>
      </c>
    </row>
    <row r="31" spans="2:35" x14ac:dyDescent="0.2">
      <c r="B31" s="57" t="s">
        <v>53</v>
      </c>
      <c r="C31" s="57"/>
      <c r="D31" s="59" t="s">
        <v>54</v>
      </c>
      <c r="E31" s="60"/>
      <c r="F31" s="77">
        <f>SUM(F32:F34)</f>
        <v>87852.352000000014</v>
      </c>
      <c r="G31" s="78">
        <f t="shared" ref="G31:Z31" si="12">SUM(G32:G34)</f>
        <v>52890.333000000006</v>
      </c>
      <c r="H31" s="78">
        <f t="shared" si="12"/>
        <v>12201.030000000002</v>
      </c>
      <c r="I31" s="78">
        <f t="shared" si="12"/>
        <v>5860.174</v>
      </c>
      <c r="J31" s="78">
        <f t="shared" si="12"/>
        <v>2557.7220000000002</v>
      </c>
      <c r="K31" s="78">
        <f t="shared" si="12"/>
        <v>987.64200000000017</v>
      </c>
      <c r="L31" s="78">
        <f t="shared" si="12"/>
        <v>1269.4110000000001</v>
      </c>
      <c r="M31" s="78">
        <f t="shared" si="12"/>
        <v>2393.1966666666667</v>
      </c>
      <c r="N31" s="78">
        <f t="shared" si="12"/>
        <v>2437.1866666666665</v>
      </c>
      <c r="O31" s="78">
        <f t="shared" si="12"/>
        <v>2598.9866666666667</v>
      </c>
      <c r="P31" s="78">
        <f t="shared" si="12"/>
        <v>2326.1999999999998</v>
      </c>
      <c r="Q31" s="78">
        <f t="shared" si="12"/>
        <v>1447.1399999999999</v>
      </c>
      <c r="R31" s="78">
        <f t="shared" si="12"/>
        <v>883.32999999999993</v>
      </c>
      <c r="S31" s="29"/>
      <c r="Z31" s="48">
        <f t="shared" si="12"/>
        <v>87852.349999999991</v>
      </c>
      <c r="AA31" s="45">
        <f t="shared" si="2"/>
        <v>-2.0000000222353265E-3</v>
      </c>
      <c r="AI31" s="45"/>
    </row>
    <row r="32" spans="2:35" x14ac:dyDescent="0.2">
      <c r="B32" s="69" t="s">
        <v>55</v>
      </c>
      <c r="C32" s="69" t="s">
        <v>27</v>
      </c>
      <c r="D32" s="70" t="s">
        <v>56</v>
      </c>
      <c r="E32" s="60"/>
      <c r="F32" s="73">
        <f>SUM(G32:R32)</f>
        <v>84514.262000000017</v>
      </c>
      <c r="G32" s="74">
        <f>46672.83*1.1</f>
        <v>51340.113000000005</v>
      </c>
      <c r="H32" s="74">
        <f>10630*1.1</f>
        <v>11693.000000000002</v>
      </c>
      <c r="I32" s="74">
        <f>5115.74*1.1</f>
        <v>5627.3140000000003</v>
      </c>
      <c r="J32" s="74">
        <f>2191.62*1.1</f>
        <v>2410.7820000000002</v>
      </c>
      <c r="K32" s="74">
        <f>719.82*1.1</f>
        <v>791.80200000000013</v>
      </c>
      <c r="L32" s="74">
        <f>1154.01*1.1</f>
        <v>1269.4110000000001</v>
      </c>
      <c r="M32" s="74">
        <f>6526.9*1.1/3</f>
        <v>2393.1966666666667</v>
      </c>
      <c r="N32" s="74">
        <f t="shared" ref="N32:O32" si="13">6526.9*1.1/3</f>
        <v>2393.1966666666667</v>
      </c>
      <c r="O32" s="74">
        <f t="shared" si="13"/>
        <v>2393.1966666666667</v>
      </c>
      <c r="P32" s="74">
        <v>2090.87</v>
      </c>
      <c r="Q32" s="74">
        <v>1330.34</v>
      </c>
      <c r="R32" s="74">
        <v>781.04</v>
      </c>
      <c r="S32" s="29"/>
      <c r="Z32" s="75">
        <v>84514.26</v>
      </c>
      <c r="AA32" s="45">
        <f t="shared" si="2"/>
        <v>-2.0000000222353265E-3</v>
      </c>
      <c r="AG32" s="45">
        <v>76831.149999999994</v>
      </c>
      <c r="AH32" s="51">
        <f>+AG32*1.05</f>
        <v>80672.707500000004</v>
      </c>
      <c r="AI32" s="45">
        <f>+F32</f>
        <v>84514.262000000017</v>
      </c>
    </row>
    <row r="33" spans="2:35" x14ac:dyDescent="0.2">
      <c r="B33" s="69" t="s">
        <v>57</v>
      </c>
      <c r="C33" s="69" t="s">
        <v>27</v>
      </c>
      <c r="D33" s="70" t="s">
        <v>58</v>
      </c>
      <c r="E33" s="60"/>
      <c r="F33" s="73">
        <f>SUM(G33:R33)</f>
        <v>730.25</v>
      </c>
      <c r="G33" s="74">
        <v>730.25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29"/>
      <c r="Z33" s="72">
        <v>730.25</v>
      </c>
      <c r="AA33" s="45">
        <f t="shared" si="2"/>
        <v>0</v>
      </c>
      <c r="AG33" s="45">
        <v>663.86</v>
      </c>
      <c r="AH33" s="51">
        <f t="shared" ref="AH33" si="14">+AG33*1.05</f>
        <v>697.053</v>
      </c>
      <c r="AI33" s="45">
        <f>+F33</f>
        <v>730.25</v>
      </c>
    </row>
    <row r="34" spans="2:35" x14ac:dyDescent="0.2">
      <c r="B34" s="69" t="s">
        <v>59</v>
      </c>
      <c r="C34" s="69" t="s">
        <v>27</v>
      </c>
      <c r="D34" s="70" t="s">
        <v>60</v>
      </c>
      <c r="E34" s="60"/>
      <c r="F34" s="73">
        <f>SUM(G34:R34)</f>
        <v>2607.84</v>
      </c>
      <c r="G34" s="74">
        <v>819.97</v>
      </c>
      <c r="H34" s="74">
        <v>508.03</v>
      </c>
      <c r="I34" s="74">
        <v>232.86</v>
      </c>
      <c r="J34" s="74">
        <v>146.94</v>
      </c>
      <c r="K34" s="74">
        <v>195.84</v>
      </c>
      <c r="L34" s="74">
        <v>0</v>
      </c>
      <c r="M34" s="74">
        <v>0</v>
      </c>
      <c r="N34" s="74">
        <v>43.99</v>
      </c>
      <c r="O34" s="74">
        <v>205.79</v>
      </c>
      <c r="P34" s="74">
        <v>235.33</v>
      </c>
      <c r="Q34" s="74">
        <v>116.8</v>
      </c>
      <c r="R34" s="74">
        <v>102.29</v>
      </c>
      <c r="S34" s="29"/>
      <c r="Z34" s="75">
        <v>2607.84</v>
      </c>
      <c r="AA34" s="45">
        <f t="shared" si="2"/>
        <v>0</v>
      </c>
      <c r="AG34" s="45">
        <v>2370.7800000000002</v>
      </c>
      <c r="AH34" s="51">
        <f>+AG34*1.1</f>
        <v>2607.8580000000006</v>
      </c>
      <c r="AI34" s="45">
        <f>+F34</f>
        <v>2607.84</v>
      </c>
    </row>
    <row r="35" spans="2:35" x14ac:dyDescent="0.2">
      <c r="B35" s="57" t="s">
        <v>61</v>
      </c>
      <c r="C35" s="57"/>
      <c r="D35" s="59" t="s">
        <v>62</v>
      </c>
      <c r="E35" s="60"/>
      <c r="F35" s="77">
        <f>SUM(F36:F38)</f>
        <v>80292.789000000019</v>
      </c>
      <c r="G35" s="78">
        <f t="shared" ref="G35:Z35" si="15">SUM(G36:G38)</f>
        <v>56615.63</v>
      </c>
      <c r="H35" s="78">
        <f t="shared" si="15"/>
        <v>5932.51</v>
      </c>
      <c r="I35" s="78">
        <f t="shared" si="15"/>
        <v>4683.24</v>
      </c>
      <c r="J35" s="78">
        <f t="shared" si="15"/>
        <v>2251.36</v>
      </c>
      <c r="K35" s="78">
        <f t="shared" si="15"/>
        <v>3298.71</v>
      </c>
      <c r="L35" s="78">
        <f t="shared" si="15"/>
        <v>871.96</v>
      </c>
      <c r="M35" s="78">
        <f t="shared" si="15"/>
        <v>530</v>
      </c>
      <c r="N35" s="78">
        <f t="shared" si="15"/>
        <v>663</v>
      </c>
      <c r="O35" s="78">
        <f t="shared" si="15"/>
        <v>1405.384</v>
      </c>
      <c r="P35" s="78">
        <f t="shared" si="15"/>
        <v>1488.3655000000001</v>
      </c>
      <c r="Q35" s="78">
        <f t="shared" si="15"/>
        <v>1419.5695000000001</v>
      </c>
      <c r="R35" s="78">
        <f t="shared" si="15"/>
        <v>1133.06</v>
      </c>
      <c r="S35" s="29"/>
      <c r="Z35" s="48">
        <f t="shared" si="15"/>
        <v>80292.790000000008</v>
      </c>
      <c r="AA35" s="45">
        <f t="shared" si="2"/>
        <v>9.9999998928979039E-4</v>
      </c>
      <c r="AH35" s="51">
        <f>+AH34-F34</f>
        <v>1.8000000000483851E-2</v>
      </c>
      <c r="AI35" s="45"/>
    </row>
    <row r="36" spans="2:35" x14ac:dyDescent="0.2">
      <c r="B36" s="69" t="s">
        <v>63</v>
      </c>
      <c r="C36" s="69" t="s">
        <v>27</v>
      </c>
      <c r="D36" s="70" t="s">
        <v>64</v>
      </c>
      <c r="E36" s="60"/>
      <c r="F36" s="73">
        <f>SUM(G36:R36)</f>
        <v>1483.81</v>
      </c>
      <c r="G36" s="74">
        <v>1001.89</v>
      </c>
      <c r="H36" s="74">
        <v>0</v>
      </c>
      <c r="I36" s="74">
        <v>191.58</v>
      </c>
      <c r="J36" s="74">
        <v>190.34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100</v>
      </c>
      <c r="S36" s="29"/>
      <c r="Z36" s="75">
        <v>1483.81</v>
      </c>
      <c r="AA36" s="45">
        <f t="shared" si="2"/>
        <v>0</v>
      </c>
      <c r="AG36" s="45">
        <v>1343.51</v>
      </c>
      <c r="AH36" s="51">
        <f>+AG36*1.1</f>
        <v>1477.8610000000001</v>
      </c>
      <c r="AI36" s="45">
        <f>+F36</f>
        <v>1483.81</v>
      </c>
    </row>
    <row r="37" spans="2:35" x14ac:dyDescent="0.2">
      <c r="B37" s="69" t="s">
        <v>65</v>
      </c>
      <c r="C37" s="69" t="s">
        <v>27</v>
      </c>
      <c r="D37" s="70" t="s">
        <v>66</v>
      </c>
      <c r="E37" s="60"/>
      <c r="F37" s="73">
        <f>SUM(G37:R37)</f>
        <v>77425.60000000002</v>
      </c>
      <c r="G37" s="74">
        <v>55613.74</v>
      </c>
      <c r="H37" s="74">
        <v>5932.51</v>
      </c>
      <c r="I37" s="74">
        <v>4491.66</v>
      </c>
      <c r="J37" s="74">
        <v>2061.02</v>
      </c>
      <c r="K37" s="74">
        <v>3298.71</v>
      </c>
      <c r="L37" s="74">
        <v>871.96</v>
      </c>
      <c r="M37" s="74">
        <v>530</v>
      </c>
      <c r="N37" s="74">
        <v>600</v>
      </c>
      <c r="O37" s="74">
        <v>1042</v>
      </c>
      <c r="P37" s="74">
        <v>1042</v>
      </c>
      <c r="Q37" s="74">
        <v>1042</v>
      </c>
      <c r="R37" s="74">
        <v>900</v>
      </c>
      <c r="S37" s="29"/>
      <c r="Z37" s="75">
        <v>77425.600000000006</v>
      </c>
      <c r="AA37" s="45">
        <f t="shared" si="2"/>
        <v>0</v>
      </c>
      <c r="AG37" s="45">
        <v>70378.94</v>
      </c>
      <c r="AH37" s="51">
        <f>+AG37*1.1</f>
        <v>77416.834000000003</v>
      </c>
      <c r="AI37" s="45">
        <f>+F37</f>
        <v>77425.60000000002</v>
      </c>
    </row>
    <row r="38" spans="2:35" x14ac:dyDescent="0.2">
      <c r="B38" s="69" t="s">
        <v>67</v>
      </c>
      <c r="C38" s="69" t="s">
        <v>27</v>
      </c>
      <c r="D38" s="70" t="s">
        <v>68</v>
      </c>
      <c r="E38" s="60"/>
      <c r="F38" s="73">
        <f>SUM(G38:R38)</f>
        <v>1383.3790000000001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63</v>
      </c>
      <c r="O38" s="74">
        <f>346.08*1.05</f>
        <v>363.38400000000001</v>
      </c>
      <c r="P38" s="74">
        <f>425.11*1.05</f>
        <v>446.36550000000005</v>
      </c>
      <c r="Q38" s="74">
        <f>359.59*1.05</f>
        <v>377.56950000000001</v>
      </c>
      <c r="R38" s="74">
        <v>133.06</v>
      </c>
      <c r="S38" s="29"/>
      <c r="Z38" s="72">
        <v>1383.38</v>
      </c>
      <c r="AA38" s="45">
        <f t="shared" si="2"/>
        <v>9.9999999997635314E-4</v>
      </c>
      <c r="AG38" s="45">
        <v>1257.5</v>
      </c>
      <c r="AH38" s="51">
        <f>+AG38*1.1</f>
        <v>1383.25</v>
      </c>
      <c r="AI38" s="45">
        <f>+F38</f>
        <v>1383.3790000000001</v>
      </c>
    </row>
    <row r="39" spans="2:35" x14ac:dyDescent="0.2">
      <c r="B39" s="57" t="s">
        <v>69</v>
      </c>
      <c r="C39" s="69" t="s">
        <v>27</v>
      </c>
      <c r="D39" s="70" t="s">
        <v>70</v>
      </c>
      <c r="E39" s="60"/>
      <c r="F39" s="73">
        <f>SUM(G39:R39)</f>
        <v>-100627.12999999999</v>
      </c>
      <c r="G39" s="74">
        <v>-72644.77</v>
      </c>
      <c r="H39" s="74">
        <v>-12918.67</v>
      </c>
      <c r="I39" s="74">
        <v>-8532.99</v>
      </c>
      <c r="J39" s="74">
        <v>-1125.68</v>
      </c>
      <c r="K39" s="74">
        <v>-1649.36</v>
      </c>
      <c r="L39" s="74">
        <v>-435.98</v>
      </c>
      <c r="M39" s="74">
        <v>-265</v>
      </c>
      <c r="N39" s="74">
        <v>-331.5</v>
      </c>
      <c r="O39" s="74">
        <v>-702.69</v>
      </c>
      <c r="P39" s="74">
        <v>-744.18</v>
      </c>
      <c r="Q39" s="74">
        <v>-709.78</v>
      </c>
      <c r="R39" s="74">
        <v>-566.53</v>
      </c>
      <c r="S39" s="29"/>
      <c r="Z39" s="72">
        <v>-100627.13</v>
      </c>
      <c r="AA39" s="45">
        <f t="shared" si="2"/>
        <v>0</v>
      </c>
      <c r="AI39" s="45">
        <f>+F39</f>
        <v>-100627.12999999999</v>
      </c>
    </row>
    <row r="40" spans="2:35" x14ac:dyDescent="0.2">
      <c r="B40" s="57" t="s">
        <v>71</v>
      </c>
      <c r="C40" s="57"/>
      <c r="D40" s="59" t="s">
        <v>72</v>
      </c>
      <c r="E40" s="60"/>
      <c r="F40" s="77">
        <f t="shared" ref="F40:R40" si="16">+F41+F54</f>
        <v>317349.51</v>
      </c>
      <c r="G40" s="78">
        <f t="shared" si="16"/>
        <v>154392.04999999999</v>
      </c>
      <c r="H40" s="78">
        <f t="shared" si="16"/>
        <v>40500.75</v>
      </c>
      <c r="I40" s="78">
        <f t="shared" si="16"/>
        <v>31139.7</v>
      </c>
      <c r="J40" s="78">
        <f t="shared" si="16"/>
        <v>15124.34</v>
      </c>
      <c r="K40" s="78">
        <f t="shared" si="16"/>
        <v>12596.7</v>
      </c>
      <c r="L40" s="78">
        <f t="shared" si="16"/>
        <v>9636.09</v>
      </c>
      <c r="M40" s="78">
        <f t="shared" si="16"/>
        <v>15659.88</v>
      </c>
      <c r="N40" s="78">
        <f t="shared" si="16"/>
        <v>13500</v>
      </c>
      <c r="O40" s="78">
        <f t="shared" si="16"/>
        <v>12600</v>
      </c>
      <c r="P40" s="78">
        <f t="shared" si="16"/>
        <v>6600</v>
      </c>
      <c r="Q40" s="78">
        <f t="shared" si="16"/>
        <v>2800</v>
      </c>
      <c r="R40" s="78">
        <f t="shared" si="16"/>
        <v>2800</v>
      </c>
      <c r="S40" s="29"/>
      <c r="Z40" s="48">
        <f>+Z41+Z54</f>
        <v>317349.51</v>
      </c>
      <c r="AA40" s="45">
        <f>+Z40-F40</f>
        <v>0</v>
      </c>
      <c r="AG40" s="45">
        <v>276892.46000000002</v>
      </c>
      <c r="AI40" s="45"/>
    </row>
    <row r="41" spans="2:35" hidden="1" x14ac:dyDescent="0.2">
      <c r="B41" s="57" t="s">
        <v>73</v>
      </c>
      <c r="C41" s="57"/>
      <c r="D41" s="59" t="s">
        <v>74</v>
      </c>
      <c r="E41" s="60"/>
      <c r="F41" s="77">
        <f>+F42</f>
        <v>317349.51</v>
      </c>
      <c r="G41" s="78">
        <f t="shared" ref="G41:Z42" si="17">+G42</f>
        <v>154392.04999999999</v>
      </c>
      <c r="H41" s="78">
        <f t="shared" si="17"/>
        <v>40500.75</v>
      </c>
      <c r="I41" s="78">
        <f t="shared" si="17"/>
        <v>31139.7</v>
      </c>
      <c r="J41" s="78">
        <f t="shared" si="17"/>
        <v>15124.34</v>
      </c>
      <c r="K41" s="78">
        <f t="shared" si="17"/>
        <v>12596.7</v>
      </c>
      <c r="L41" s="78">
        <f t="shared" si="17"/>
        <v>9636.09</v>
      </c>
      <c r="M41" s="78">
        <f t="shared" si="17"/>
        <v>15659.88</v>
      </c>
      <c r="N41" s="78">
        <f t="shared" si="17"/>
        <v>13500</v>
      </c>
      <c r="O41" s="78">
        <f t="shared" si="17"/>
        <v>12600</v>
      </c>
      <c r="P41" s="78">
        <f t="shared" si="17"/>
        <v>6600</v>
      </c>
      <c r="Q41" s="78">
        <f t="shared" si="17"/>
        <v>2800</v>
      </c>
      <c r="R41" s="78">
        <f t="shared" si="17"/>
        <v>2800</v>
      </c>
      <c r="S41" s="29"/>
      <c r="Z41" s="48">
        <f t="shared" si="17"/>
        <v>317349.51</v>
      </c>
      <c r="AA41" s="45">
        <f>+Z41-F41</f>
        <v>0</v>
      </c>
      <c r="AG41" s="80">
        <v>1</v>
      </c>
      <c r="AH41" s="51">
        <f>+F40*AG41/AG40</f>
        <v>1.1461110569785828</v>
      </c>
      <c r="AI41" s="45"/>
    </row>
    <row r="42" spans="2:35" x14ac:dyDescent="0.2">
      <c r="B42" s="57" t="s">
        <v>73</v>
      </c>
      <c r="C42" s="57"/>
      <c r="D42" s="59" t="s">
        <v>75</v>
      </c>
      <c r="E42" s="60"/>
      <c r="F42" s="77">
        <f>+F43</f>
        <v>317349.51</v>
      </c>
      <c r="G42" s="78">
        <f t="shared" si="17"/>
        <v>154392.04999999999</v>
      </c>
      <c r="H42" s="78">
        <f t="shared" si="17"/>
        <v>40500.75</v>
      </c>
      <c r="I42" s="78">
        <f t="shared" si="17"/>
        <v>31139.7</v>
      </c>
      <c r="J42" s="78">
        <f t="shared" si="17"/>
        <v>15124.34</v>
      </c>
      <c r="K42" s="78">
        <f t="shared" si="17"/>
        <v>12596.7</v>
      </c>
      <c r="L42" s="78">
        <f t="shared" si="17"/>
        <v>9636.09</v>
      </c>
      <c r="M42" s="78">
        <f t="shared" si="17"/>
        <v>15659.88</v>
      </c>
      <c r="N42" s="78">
        <f t="shared" si="17"/>
        <v>13500</v>
      </c>
      <c r="O42" s="78">
        <f t="shared" si="17"/>
        <v>12600</v>
      </c>
      <c r="P42" s="78">
        <f t="shared" si="17"/>
        <v>6600</v>
      </c>
      <c r="Q42" s="78">
        <f t="shared" si="17"/>
        <v>2800</v>
      </c>
      <c r="R42" s="78">
        <f t="shared" si="17"/>
        <v>2800</v>
      </c>
      <c r="S42" s="29"/>
      <c r="Z42" s="48">
        <f t="shared" si="17"/>
        <v>317349.51</v>
      </c>
      <c r="AA42" s="45">
        <f>+Z42-F42</f>
        <v>0</v>
      </c>
      <c r="AI42" s="45"/>
    </row>
    <row r="43" spans="2:35" x14ac:dyDescent="0.2">
      <c r="B43" s="57" t="s">
        <v>76</v>
      </c>
      <c r="C43" s="69" t="s">
        <v>27</v>
      </c>
      <c r="D43" s="70" t="s">
        <v>77</v>
      </c>
      <c r="E43" s="60"/>
      <c r="F43" s="73">
        <f>SUM(G43:R43)</f>
        <v>317349.51</v>
      </c>
      <c r="G43" s="74">
        <v>154392.04999999999</v>
      </c>
      <c r="H43" s="74">
        <v>40500.75</v>
      </c>
      <c r="I43" s="74">
        <v>31139.7</v>
      </c>
      <c r="J43" s="74">
        <v>15124.34</v>
      </c>
      <c r="K43" s="74">
        <v>12596.7</v>
      </c>
      <c r="L43" s="74">
        <v>9636.09</v>
      </c>
      <c r="M43" s="74">
        <v>15659.88</v>
      </c>
      <c r="N43" s="74">
        <v>13500</v>
      </c>
      <c r="O43" s="74">
        <v>12600</v>
      </c>
      <c r="P43" s="74">
        <v>6600</v>
      </c>
      <c r="Q43" s="74">
        <v>2800</v>
      </c>
      <c r="R43" s="74">
        <v>2800</v>
      </c>
      <c r="S43" s="29"/>
      <c r="Z43" s="75">
        <v>317349.51</v>
      </c>
      <c r="AA43" s="45">
        <f>+Z43-F43</f>
        <v>0</v>
      </c>
      <c r="AG43" s="45">
        <v>104398.39999999999</v>
      </c>
      <c r="AI43" s="45">
        <f>+F43</f>
        <v>317349.51</v>
      </c>
    </row>
    <row r="44" spans="2:35" x14ac:dyDescent="0.2">
      <c r="B44" s="57" t="s">
        <v>78</v>
      </c>
      <c r="C44" s="57"/>
      <c r="D44" s="59" t="s">
        <v>79</v>
      </c>
      <c r="E44" s="60"/>
      <c r="F44" s="77">
        <f>+F45</f>
        <v>95638.090000000026</v>
      </c>
      <c r="G44" s="78">
        <f t="shared" ref="G44:Z44" si="18">+G45</f>
        <v>17785.990000000002</v>
      </c>
      <c r="H44" s="78">
        <f t="shared" si="18"/>
        <v>12042.27</v>
      </c>
      <c r="I44" s="78">
        <f t="shared" si="18"/>
        <v>7717.34</v>
      </c>
      <c r="J44" s="78">
        <f t="shared" si="18"/>
        <v>9501.2900000000009</v>
      </c>
      <c r="K44" s="78">
        <f t="shared" si="18"/>
        <v>6076.9</v>
      </c>
      <c r="L44" s="78">
        <f t="shared" si="18"/>
        <v>3511.38</v>
      </c>
      <c r="M44" s="78">
        <f t="shared" si="18"/>
        <v>6417.1</v>
      </c>
      <c r="N44" s="78">
        <f t="shared" si="18"/>
        <v>6417.1</v>
      </c>
      <c r="O44" s="78">
        <f t="shared" si="18"/>
        <v>6417.1</v>
      </c>
      <c r="P44" s="78">
        <f t="shared" si="18"/>
        <v>9231.52</v>
      </c>
      <c r="Q44" s="78">
        <f t="shared" si="18"/>
        <v>9735.58</v>
      </c>
      <c r="R44" s="78">
        <f t="shared" si="18"/>
        <v>784.52</v>
      </c>
      <c r="S44" s="81">
        <f>+AG45</f>
        <v>86943.71</v>
      </c>
      <c r="T44" s="81"/>
      <c r="U44" s="81"/>
      <c r="V44" s="81"/>
      <c r="W44" s="81"/>
      <c r="X44" s="81"/>
      <c r="Y44" s="81"/>
      <c r="Z44" s="48">
        <f t="shared" si="18"/>
        <v>95638.09</v>
      </c>
      <c r="AA44" s="45">
        <f t="shared" si="2"/>
        <v>0</v>
      </c>
      <c r="AB44" s="82"/>
      <c r="AC44" s="82"/>
      <c r="AD44" s="82"/>
      <c r="AE44" s="82"/>
      <c r="AF44" s="82"/>
      <c r="AH44" s="83"/>
      <c r="AI44" s="45"/>
    </row>
    <row r="45" spans="2:35" x14ac:dyDescent="0.2">
      <c r="B45" s="69" t="s">
        <v>73</v>
      </c>
      <c r="C45" s="69" t="s">
        <v>27</v>
      </c>
      <c r="D45" s="70" t="s">
        <v>80</v>
      </c>
      <c r="E45" s="60"/>
      <c r="F45" s="73">
        <f>SUM(G45:R45)</f>
        <v>95638.090000000026</v>
      </c>
      <c r="G45" s="74">
        <v>17785.990000000002</v>
      </c>
      <c r="H45" s="74">
        <v>12042.27</v>
      </c>
      <c r="I45" s="74">
        <v>7717.34</v>
      </c>
      <c r="J45" s="74">
        <v>9501.2900000000009</v>
      </c>
      <c r="K45" s="74">
        <v>6076.9</v>
      </c>
      <c r="L45" s="74">
        <v>3511.38</v>
      </c>
      <c r="M45" s="74">
        <v>6417.1</v>
      </c>
      <c r="N45" s="74">
        <v>6417.1</v>
      </c>
      <c r="O45" s="74">
        <v>6417.1</v>
      </c>
      <c r="P45" s="74">
        <v>9231.52</v>
      </c>
      <c r="Q45" s="74">
        <v>9735.58</v>
      </c>
      <c r="R45" s="74">
        <v>784.52</v>
      </c>
      <c r="S45" s="29"/>
      <c r="Z45" s="75">
        <v>95638.09</v>
      </c>
      <c r="AA45" s="45">
        <f t="shared" si="2"/>
        <v>0</v>
      </c>
      <c r="AG45" s="45">
        <v>86943.71</v>
      </c>
      <c r="AH45" s="51">
        <f>+AG45*1.05</f>
        <v>91290.895500000013</v>
      </c>
      <c r="AI45" s="45">
        <f>+F45</f>
        <v>95638.090000000026</v>
      </c>
    </row>
    <row r="46" spans="2:35" x14ac:dyDescent="0.2">
      <c r="B46" s="57" t="s">
        <v>81</v>
      </c>
      <c r="C46" s="57"/>
      <c r="D46" s="59" t="s">
        <v>82</v>
      </c>
      <c r="E46" s="60"/>
      <c r="F46" s="77">
        <f>+F47</f>
        <v>0</v>
      </c>
      <c r="G46" s="78">
        <f t="shared" ref="G46:R46" si="19">+G47+G40</f>
        <v>154392.04999999999</v>
      </c>
      <c r="H46" s="78">
        <f t="shared" si="19"/>
        <v>40500.75</v>
      </c>
      <c r="I46" s="78">
        <f t="shared" si="19"/>
        <v>31139.7</v>
      </c>
      <c r="J46" s="78">
        <f t="shared" si="19"/>
        <v>15124.34</v>
      </c>
      <c r="K46" s="78">
        <f t="shared" si="19"/>
        <v>12596.7</v>
      </c>
      <c r="L46" s="78">
        <f t="shared" si="19"/>
        <v>9636.09</v>
      </c>
      <c r="M46" s="78">
        <f t="shared" si="19"/>
        <v>15659.88</v>
      </c>
      <c r="N46" s="78">
        <f t="shared" si="19"/>
        <v>13500</v>
      </c>
      <c r="O46" s="78">
        <f t="shared" si="19"/>
        <v>12600</v>
      </c>
      <c r="P46" s="78">
        <f t="shared" si="19"/>
        <v>6600</v>
      </c>
      <c r="Q46" s="78">
        <f t="shared" si="19"/>
        <v>2800</v>
      </c>
      <c r="R46" s="78">
        <f t="shared" si="19"/>
        <v>2800</v>
      </c>
      <c r="S46" s="29"/>
      <c r="Z46" s="48">
        <f>+Z47+Z40</f>
        <v>317349.51</v>
      </c>
      <c r="AA46" s="45">
        <f t="shared" si="2"/>
        <v>317349.51</v>
      </c>
      <c r="AI46" s="45"/>
    </row>
    <row r="47" spans="2:35" hidden="1" x14ac:dyDescent="0.2">
      <c r="B47" s="57" t="s">
        <v>83</v>
      </c>
      <c r="C47" s="57"/>
      <c r="D47" s="59" t="s">
        <v>84</v>
      </c>
      <c r="E47" s="60"/>
      <c r="F47" s="77">
        <f>SUM(F48:F53)</f>
        <v>0</v>
      </c>
      <c r="G47" s="78">
        <f t="shared" ref="G47:R47" si="20">SUM(G48:G53)</f>
        <v>0</v>
      </c>
      <c r="H47" s="78">
        <f t="shared" si="20"/>
        <v>0</v>
      </c>
      <c r="I47" s="78">
        <f t="shared" si="20"/>
        <v>0</v>
      </c>
      <c r="J47" s="78">
        <f t="shared" si="20"/>
        <v>0</v>
      </c>
      <c r="K47" s="78">
        <f t="shared" si="20"/>
        <v>0</v>
      </c>
      <c r="L47" s="78">
        <f t="shared" si="20"/>
        <v>0</v>
      </c>
      <c r="M47" s="78">
        <f t="shared" si="20"/>
        <v>0</v>
      </c>
      <c r="N47" s="78">
        <f t="shared" si="20"/>
        <v>0</v>
      </c>
      <c r="O47" s="78">
        <f t="shared" si="20"/>
        <v>0</v>
      </c>
      <c r="P47" s="78">
        <f t="shared" si="20"/>
        <v>0</v>
      </c>
      <c r="Q47" s="78">
        <f t="shared" si="20"/>
        <v>0</v>
      </c>
      <c r="R47" s="78">
        <f t="shared" si="20"/>
        <v>0</v>
      </c>
      <c r="S47" s="29"/>
      <c r="Z47" s="48">
        <f t="shared" ref="Z47" si="21">SUM(Z48:Z53)</f>
        <v>0</v>
      </c>
      <c r="AA47" s="45">
        <f t="shared" si="2"/>
        <v>0</v>
      </c>
      <c r="AI47" s="45"/>
    </row>
    <row r="48" spans="2:35" hidden="1" x14ac:dyDescent="0.2">
      <c r="B48" s="69" t="s">
        <v>85</v>
      </c>
      <c r="C48" s="69" t="s">
        <v>27</v>
      </c>
      <c r="D48" s="70" t="s">
        <v>86</v>
      </c>
      <c r="E48" s="60"/>
      <c r="F48" s="73">
        <f t="shared" ref="F48:F53" si="22">SUM(G48:R48)</f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29"/>
      <c r="Z48" s="72"/>
      <c r="AA48" s="45">
        <f t="shared" si="2"/>
        <v>0</v>
      </c>
      <c r="AG48" s="45">
        <f>115872.94*1.1</f>
        <v>127460.23400000001</v>
      </c>
      <c r="AI48" s="45">
        <f t="shared" ref="AI48:AI53" si="23">+F48</f>
        <v>0</v>
      </c>
    </row>
    <row r="49" spans="2:35" hidden="1" x14ac:dyDescent="0.2">
      <c r="B49" s="69" t="s">
        <v>87</v>
      </c>
      <c r="C49" s="69" t="s">
        <v>27</v>
      </c>
      <c r="D49" s="70" t="s">
        <v>88</v>
      </c>
      <c r="E49" s="60"/>
      <c r="F49" s="73">
        <f t="shared" si="22"/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29"/>
      <c r="Z49" s="72"/>
      <c r="AA49" s="45">
        <f t="shared" si="2"/>
        <v>0</v>
      </c>
      <c r="AG49" s="45">
        <f>116593.72*1.03</f>
        <v>120091.5316</v>
      </c>
      <c r="AI49" s="45">
        <f t="shared" si="23"/>
        <v>0</v>
      </c>
    </row>
    <row r="50" spans="2:35" hidden="1" x14ac:dyDescent="0.2">
      <c r="B50" s="69" t="s">
        <v>89</v>
      </c>
      <c r="C50" s="69" t="s">
        <v>27</v>
      </c>
      <c r="D50" s="70" t="s">
        <v>90</v>
      </c>
      <c r="E50" s="60"/>
      <c r="F50" s="73">
        <f t="shared" si="22"/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29"/>
      <c r="Z50" s="72"/>
      <c r="AA50" s="45">
        <f t="shared" si="2"/>
        <v>0</v>
      </c>
      <c r="AI50" s="45">
        <f t="shared" si="23"/>
        <v>0</v>
      </c>
    </row>
    <row r="51" spans="2:35" hidden="1" x14ac:dyDescent="0.2">
      <c r="B51" s="69" t="s">
        <v>91</v>
      </c>
      <c r="C51" s="69" t="s">
        <v>27</v>
      </c>
      <c r="D51" s="70" t="s">
        <v>92</v>
      </c>
      <c r="E51" s="60"/>
      <c r="F51" s="73">
        <f t="shared" si="22"/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29"/>
      <c r="Z51" s="72"/>
      <c r="AA51" s="45">
        <f t="shared" si="2"/>
        <v>0</v>
      </c>
      <c r="AI51" s="45">
        <f t="shared" si="23"/>
        <v>0</v>
      </c>
    </row>
    <row r="52" spans="2:35" hidden="1" x14ac:dyDescent="0.2">
      <c r="B52" s="69" t="s">
        <v>93</v>
      </c>
      <c r="C52" s="69" t="s">
        <v>27</v>
      </c>
      <c r="D52" s="70" t="s">
        <v>94</v>
      </c>
      <c r="E52" s="60"/>
      <c r="F52" s="73">
        <f t="shared" si="22"/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29"/>
      <c r="Z52" s="72"/>
      <c r="AA52" s="45">
        <f t="shared" si="2"/>
        <v>0</v>
      </c>
      <c r="AI52" s="45">
        <f t="shared" si="23"/>
        <v>0</v>
      </c>
    </row>
    <row r="53" spans="2:35" hidden="1" x14ac:dyDescent="0.2">
      <c r="B53" s="69" t="s">
        <v>95</v>
      </c>
      <c r="C53" s="69" t="s">
        <v>27</v>
      </c>
      <c r="D53" s="70" t="s">
        <v>96</v>
      </c>
      <c r="E53" s="60"/>
      <c r="F53" s="73">
        <f t="shared" si="22"/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29"/>
      <c r="Z53" s="72"/>
      <c r="AA53" s="45">
        <f t="shared" si="2"/>
        <v>0</v>
      </c>
      <c r="AI53" s="45">
        <f t="shared" si="23"/>
        <v>0</v>
      </c>
    </row>
    <row r="54" spans="2:35" hidden="1" x14ac:dyDescent="0.2">
      <c r="B54" s="57" t="s">
        <v>97</v>
      </c>
      <c r="C54" s="57"/>
      <c r="D54" s="59" t="s">
        <v>98</v>
      </c>
      <c r="E54" s="60"/>
      <c r="F54" s="77">
        <f>+F55</f>
        <v>0</v>
      </c>
      <c r="G54" s="78">
        <f t="shared" ref="G54:Z54" si="24">+G55</f>
        <v>0</v>
      </c>
      <c r="H54" s="78">
        <f t="shared" si="24"/>
        <v>0</v>
      </c>
      <c r="I54" s="78">
        <f t="shared" si="24"/>
        <v>0</v>
      </c>
      <c r="J54" s="78">
        <f t="shared" si="24"/>
        <v>0</v>
      </c>
      <c r="K54" s="78">
        <f t="shared" si="24"/>
        <v>0</v>
      </c>
      <c r="L54" s="78">
        <f t="shared" si="24"/>
        <v>0</v>
      </c>
      <c r="M54" s="78">
        <f t="shared" si="24"/>
        <v>0</v>
      </c>
      <c r="N54" s="78">
        <f t="shared" si="24"/>
        <v>0</v>
      </c>
      <c r="O54" s="78">
        <f t="shared" si="24"/>
        <v>0</v>
      </c>
      <c r="P54" s="78">
        <f t="shared" si="24"/>
        <v>0</v>
      </c>
      <c r="Q54" s="78">
        <f t="shared" si="24"/>
        <v>0</v>
      </c>
      <c r="R54" s="78">
        <f t="shared" si="24"/>
        <v>0</v>
      </c>
      <c r="S54" s="29"/>
      <c r="Z54" s="48">
        <f t="shared" si="24"/>
        <v>0</v>
      </c>
      <c r="AA54" s="45">
        <f t="shared" si="2"/>
        <v>0</v>
      </c>
      <c r="AI54" s="45"/>
    </row>
    <row r="55" spans="2:35" hidden="1" x14ac:dyDescent="0.2">
      <c r="B55" s="69" t="s">
        <v>99</v>
      </c>
      <c r="C55" s="69" t="s">
        <v>100</v>
      </c>
      <c r="D55" s="70" t="s">
        <v>101</v>
      </c>
      <c r="E55" s="60"/>
      <c r="F55" s="73">
        <f>SUM(G55:R55)</f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29"/>
      <c r="Z55" s="72">
        <v>0</v>
      </c>
      <c r="AA55" s="45">
        <f t="shared" si="2"/>
        <v>0</v>
      </c>
      <c r="AG55" s="45">
        <v>243858.36</v>
      </c>
      <c r="AI55" s="45">
        <f>+F55</f>
        <v>0</v>
      </c>
    </row>
    <row r="56" spans="2:35" x14ac:dyDescent="0.2">
      <c r="B56" s="57" t="s">
        <v>102</v>
      </c>
      <c r="C56" s="57"/>
      <c r="D56" s="59" t="s">
        <v>103</v>
      </c>
      <c r="E56" s="60"/>
      <c r="F56" s="77">
        <f>+F57+F63+F66</f>
        <v>2029922.0440000002</v>
      </c>
      <c r="G56" s="78">
        <f t="shared" ref="G56:R56" si="25">+G57+G63+G66</f>
        <v>326822.54000000004</v>
      </c>
      <c r="H56" s="78">
        <f t="shared" si="25"/>
        <v>161979.402</v>
      </c>
      <c r="I56" s="78">
        <f t="shared" si="25"/>
        <v>166523.06400000001</v>
      </c>
      <c r="J56" s="78">
        <f t="shared" si="25"/>
        <v>172038.84</v>
      </c>
      <c r="K56" s="78">
        <f t="shared" si="25"/>
        <v>182720.61600000001</v>
      </c>
      <c r="L56" s="78">
        <f t="shared" si="25"/>
        <v>173569.21799999999</v>
      </c>
      <c r="M56" s="78">
        <f t="shared" si="25"/>
        <v>133230.03733333331</v>
      </c>
      <c r="N56" s="78">
        <f t="shared" si="25"/>
        <v>134968.51733333335</v>
      </c>
      <c r="O56" s="78">
        <f t="shared" si="25"/>
        <v>219999.82533333334</v>
      </c>
      <c r="P56" s="78">
        <f t="shared" si="25"/>
        <v>127663.35600000001</v>
      </c>
      <c r="Q56" s="78">
        <f t="shared" si="25"/>
        <v>111608.26000000001</v>
      </c>
      <c r="R56" s="78">
        <f t="shared" si="25"/>
        <v>118798.36800000002</v>
      </c>
      <c r="S56" s="29"/>
      <c r="Z56" s="48">
        <f t="shared" ref="Z56" si="26">+Z57+Z63+Z66</f>
        <v>2029922.04</v>
      </c>
      <c r="AA56" s="45">
        <f t="shared" si="2"/>
        <v>-4.0000001899898052E-3</v>
      </c>
      <c r="AI56" s="45"/>
    </row>
    <row r="57" spans="2:35" x14ac:dyDescent="0.2">
      <c r="B57" s="57" t="s">
        <v>104</v>
      </c>
      <c r="C57" s="57"/>
      <c r="D57" s="59" t="s">
        <v>105</v>
      </c>
      <c r="E57" s="60"/>
      <c r="F57" s="77">
        <f>SUM(F58:F62)</f>
        <v>272386.22400000005</v>
      </c>
      <c r="G57" s="78">
        <f t="shared" ref="G57:R57" si="27">SUM(G58:G62)</f>
        <v>122105.06000000003</v>
      </c>
      <c r="H57" s="78">
        <f t="shared" si="27"/>
        <v>32594.342000000001</v>
      </c>
      <c r="I57" s="78">
        <f t="shared" si="27"/>
        <v>23195.744000000002</v>
      </c>
      <c r="J57" s="78">
        <f t="shared" si="27"/>
        <v>15117.080000000002</v>
      </c>
      <c r="K57" s="78">
        <f t="shared" si="27"/>
        <v>11203.456</v>
      </c>
      <c r="L57" s="78">
        <f t="shared" si="27"/>
        <v>7303.7579999999998</v>
      </c>
      <c r="M57" s="78">
        <f t="shared" si="27"/>
        <v>4493.6173333333336</v>
      </c>
      <c r="N57" s="78">
        <f t="shared" si="27"/>
        <v>4493.6173333333336</v>
      </c>
      <c r="O57" s="78">
        <f t="shared" si="27"/>
        <v>25022.125333333337</v>
      </c>
      <c r="P57" s="78">
        <f t="shared" si="27"/>
        <v>9410.1260000000002</v>
      </c>
      <c r="Q57" s="78">
        <f t="shared" si="27"/>
        <v>12736.350000000002</v>
      </c>
      <c r="R57" s="78">
        <f t="shared" si="27"/>
        <v>4710.9480000000003</v>
      </c>
      <c r="S57" s="29"/>
      <c r="Z57" s="48">
        <f t="shared" ref="Z57" si="28">SUM(Z58:Z62)</f>
        <v>272386.21999999997</v>
      </c>
      <c r="AA57" s="45">
        <f t="shared" si="2"/>
        <v>-4.0000000735744834E-3</v>
      </c>
      <c r="AI57" s="45"/>
    </row>
    <row r="58" spans="2:35" x14ac:dyDescent="0.2">
      <c r="B58" s="69" t="s">
        <v>106</v>
      </c>
      <c r="C58" s="69" t="s">
        <v>27</v>
      </c>
      <c r="D58" s="70" t="s">
        <v>107</v>
      </c>
      <c r="E58" s="60"/>
      <c r="F58" s="73">
        <f>SUM(G58:R58)</f>
        <v>86904.521000000022</v>
      </c>
      <c r="G58" s="74">
        <f>35364.44*1.1</f>
        <v>38900.884000000005</v>
      </c>
      <c r="H58" s="74">
        <f>9533*1.1</f>
        <v>10486.300000000001</v>
      </c>
      <c r="I58" s="74">
        <f>6481.91*1.1</f>
        <v>7130.1010000000006</v>
      </c>
      <c r="J58" s="74">
        <f>4898.68*1.1</f>
        <v>5388.5480000000007</v>
      </c>
      <c r="K58" s="74">
        <f>3449.42*1.1</f>
        <v>3794.3620000000005</v>
      </c>
      <c r="L58" s="74">
        <f>2062.99*1.1</f>
        <v>2269.2889999999998</v>
      </c>
      <c r="M58" s="74">
        <v>0</v>
      </c>
      <c r="N58" s="74">
        <v>0</v>
      </c>
      <c r="O58" s="74">
        <f>9331.14*1.1</f>
        <v>10264.254000000001</v>
      </c>
      <c r="P58" s="74">
        <f>3226.44*1.1</f>
        <v>3549.0840000000003</v>
      </c>
      <c r="Q58" s="74">
        <f>3978.11*1.1</f>
        <v>4375.9210000000003</v>
      </c>
      <c r="R58" s="74">
        <f>677.98*1.1</f>
        <v>745.77800000000013</v>
      </c>
      <c r="S58" s="29"/>
      <c r="Z58" s="72">
        <v>86904.52</v>
      </c>
      <c r="AA58" s="45">
        <f t="shared" si="2"/>
        <v>-1.0000000183936208E-3</v>
      </c>
      <c r="AI58" s="45">
        <f>+F58</f>
        <v>86904.521000000022</v>
      </c>
    </row>
    <row r="59" spans="2:35" x14ac:dyDescent="0.2">
      <c r="B59" s="69" t="s">
        <v>108</v>
      </c>
      <c r="C59" s="69" t="s">
        <v>27</v>
      </c>
      <c r="D59" s="70" t="s">
        <v>109</v>
      </c>
      <c r="E59" s="60"/>
      <c r="F59" s="73">
        <f>SUM(G59:R59)</f>
        <v>86904.521000000022</v>
      </c>
      <c r="G59" s="74">
        <f>35364.44*1.1</f>
        <v>38900.884000000005</v>
      </c>
      <c r="H59" s="74">
        <f>9533*1.1</f>
        <v>10486.300000000001</v>
      </c>
      <c r="I59" s="74">
        <f>6481.91*1.1</f>
        <v>7130.1010000000006</v>
      </c>
      <c r="J59" s="74">
        <f>4898.68*1.1</f>
        <v>5388.5480000000007</v>
      </c>
      <c r="K59" s="74">
        <f>3449.42*1.1</f>
        <v>3794.3620000000005</v>
      </c>
      <c r="L59" s="74">
        <f>2062.99*1.1</f>
        <v>2269.2889999999998</v>
      </c>
      <c r="M59" s="74">
        <v>0</v>
      </c>
      <c r="N59" s="74">
        <v>0</v>
      </c>
      <c r="O59" s="74">
        <f>9331.14*1.1</f>
        <v>10264.254000000001</v>
      </c>
      <c r="P59" s="74">
        <f>3226.44*1.1</f>
        <v>3549.0840000000003</v>
      </c>
      <c r="Q59" s="74">
        <f>3978.11*1.1</f>
        <v>4375.9210000000003</v>
      </c>
      <c r="R59" s="74">
        <f>677.98*1.1</f>
        <v>745.77800000000013</v>
      </c>
      <c r="S59" s="29"/>
      <c r="Z59" s="72">
        <v>86904.52</v>
      </c>
      <c r="AA59" s="45">
        <f t="shared" si="2"/>
        <v>-1.0000000183936208E-3</v>
      </c>
      <c r="AI59" s="45">
        <f>+F59</f>
        <v>86904.521000000022</v>
      </c>
    </row>
    <row r="60" spans="2:35" x14ac:dyDescent="0.2">
      <c r="B60" s="69" t="s">
        <v>110</v>
      </c>
      <c r="C60" s="69" t="s">
        <v>27</v>
      </c>
      <c r="D60" s="70" t="s">
        <v>111</v>
      </c>
      <c r="E60" s="60"/>
      <c r="F60" s="73">
        <f>SUM(G60:R60)</f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29"/>
      <c r="Z60" s="72"/>
      <c r="AA60" s="45">
        <f t="shared" si="2"/>
        <v>0</v>
      </c>
      <c r="AI60" s="45">
        <f>+F60</f>
        <v>0</v>
      </c>
    </row>
    <row r="61" spans="2:35" x14ac:dyDescent="0.2">
      <c r="B61" s="69" t="s">
        <v>112</v>
      </c>
      <c r="C61" s="69" t="s">
        <v>27</v>
      </c>
      <c r="D61" s="70" t="s">
        <v>113</v>
      </c>
      <c r="E61" s="60"/>
      <c r="F61" s="73">
        <f>SUM(G61:R61)</f>
        <v>49288.591</v>
      </c>
      <c r="G61" s="74">
        <f>20137.86*1.1</f>
        <v>22151.646000000001</v>
      </c>
      <c r="H61" s="74">
        <f>5282.61*1.1</f>
        <v>5810.8710000000001</v>
      </c>
      <c r="I61" s="74">
        <f>4061.61*1.1</f>
        <v>4467.7710000000006</v>
      </c>
      <c r="J61" s="74">
        <f>1972.72*1.1</f>
        <v>2169.9920000000002</v>
      </c>
      <c r="K61" s="74">
        <f>1643.06*1.1</f>
        <v>1807.366</v>
      </c>
      <c r="L61" s="74">
        <f>1256.9*1.1</f>
        <v>1382.5900000000001</v>
      </c>
      <c r="M61" s="74">
        <f t="shared" ref="M61:N62" si="29">6127.66*1.1/3</f>
        <v>2246.8086666666668</v>
      </c>
      <c r="N61" s="74">
        <f t="shared" si="29"/>
        <v>2246.8086666666668</v>
      </c>
      <c r="O61" s="74">
        <f>6127.66*1.1/3</f>
        <v>2246.8086666666668</v>
      </c>
      <c r="P61" s="74">
        <f>1050.89*1.1</f>
        <v>1155.9790000000003</v>
      </c>
      <c r="Q61" s="74">
        <f>1811.14*1.1</f>
        <v>1992.2540000000004</v>
      </c>
      <c r="R61" s="74">
        <f>1463.36*1.1</f>
        <v>1609.6959999999999</v>
      </c>
      <c r="S61" s="29"/>
      <c r="Z61" s="72">
        <v>49288.59</v>
      </c>
      <c r="AA61" s="45">
        <f t="shared" si="2"/>
        <v>-1.0000000038417056E-3</v>
      </c>
      <c r="AI61" s="45">
        <f>+F61</f>
        <v>49288.591</v>
      </c>
    </row>
    <row r="62" spans="2:35" x14ac:dyDescent="0.2">
      <c r="B62" s="69" t="s">
        <v>114</v>
      </c>
      <c r="C62" s="69" t="s">
        <v>27</v>
      </c>
      <c r="D62" s="70" t="s">
        <v>115</v>
      </c>
      <c r="E62" s="60"/>
      <c r="F62" s="73">
        <f>SUM(G62:R62)</f>
        <v>49288.591</v>
      </c>
      <c r="G62" s="74">
        <f>20137.86*1.1</f>
        <v>22151.646000000001</v>
      </c>
      <c r="H62" s="74">
        <f>5282.61*1.1</f>
        <v>5810.8710000000001</v>
      </c>
      <c r="I62" s="74">
        <f>4061.61*1.1</f>
        <v>4467.7710000000006</v>
      </c>
      <c r="J62" s="74">
        <f>1972.72*1.1</f>
        <v>2169.9920000000002</v>
      </c>
      <c r="K62" s="74">
        <f>1643.06*1.1</f>
        <v>1807.366</v>
      </c>
      <c r="L62" s="74">
        <f>1256.9*1.1</f>
        <v>1382.5900000000001</v>
      </c>
      <c r="M62" s="74">
        <f t="shared" si="29"/>
        <v>2246.8086666666668</v>
      </c>
      <c r="N62" s="74">
        <f t="shared" si="29"/>
        <v>2246.8086666666668</v>
      </c>
      <c r="O62" s="74">
        <f>6127.66*1.1/3</f>
        <v>2246.8086666666668</v>
      </c>
      <c r="P62" s="74">
        <f>1050.89*1.1</f>
        <v>1155.9790000000003</v>
      </c>
      <c r="Q62" s="74">
        <f>1811.14*1.1</f>
        <v>1992.2540000000004</v>
      </c>
      <c r="R62" s="74">
        <f>1463.36*1.1</f>
        <v>1609.6959999999999</v>
      </c>
      <c r="S62" s="29"/>
      <c r="Z62" s="72">
        <v>49288.59</v>
      </c>
      <c r="AA62" s="45">
        <f t="shared" si="2"/>
        <v>-1.0000000038417056E-3</v>
      </c>
      <c r="AI62" s="45">
        <f>+F62</f>
        <v>49288.591</v>
      </c>
    </row>
    <row r="63" spans="2:35" x14ac:dyDescent="0.2">
      <c r="B63" s="57" t="s">
        <v>116</v>
      </c>
      <c r="C63" s="57"/>
      <c r="D63" s="59" t="s">
        <v>117</v>
      </c>
      <c r="E63" s="60"/>
      <c r="F63" s="77">
        <f>SUM(F64:F65)</f>
        <v>1634427.2400000002</v>
      </c>
      <c r="G63" s="78">
        <f t="shared" ref="G63:Z63" si="30">SUM(G64:G65)</f>
        <v>142447.42000000001</v>
      </c>
      <c r="H63" s="78">
        <f t="shared" si="30"/>
        <v>118791.4</v>
      </c>
      <c r="I63" s="78">
        <f t="shared" si="30"/>
        <v>132579.06</v>
      </c>
      <c r="J63" s="78">
        <f t="shared" si="30"/>
        <v>147704.68</v>
      </c>
      <c r="K63" s="78">
        <f t="shared" si="30"/>
        <v>163257.54</v>
      </c>
      <c r="L63" s="78">
        <f t="shared" si="30"/>
        <v>163435.28</v>
      </c>
      <c r="M63" s="78">
        <f t="shared" si="30"/>
        <v>126298.26</v>
      </c>
      <c r="N63" s="78">
        <f t="shared" si="30"/>
        <v>128036.74</v>
      </c>
      <c r="O63" s="78">
        <f t="shared" si="30"/>
        <v>190319.1</v>
      </c>
      <c r="P63" s="78">
        <f t="shared" si="30"/>
        <v>115976.52</v>
      </c>
      <c r="Q63" s="78">
        <f t="shared" si="30"/>
        <v>95364.78</v>
      </c>
      <c r="R63" s="78">
        <f t="shared" si="30"/>
        <v>110216.46</v>
      </c>
      <c r="S63" s="81">
        <f t="shared" si="30"/>
        <v>0</v>
      </c>
      <c r="T63" s="81"/>
      <c r="U63" s="81"/>
      <c r="V63" s="81"/>
      <c r="W63" s="81"/>
      <c r="X63" s="81"/>
      <c r="Y63" s="81"/>
      <c r="Z63" s="48">
        <f t="shared" si="30"/>
        <v>1634427.24</v>
      </c>
      <c r="AA63" s="45">
        <f t="shared" si="2"/>
        <v>0</v>
      </c>
      <c r="AB63" s="82"/>
      <c r="AC63" s="82"/>
      <c r="AD63" s="82"/>
      <c r="AE63" s="82"/>
      <c r="AF63" s="82"/>
      <c r="AH63" s="83"/>
      <c r="AI63" s="45"/>
    </row>
    <row r="64" spans="2:35" x14ac:dyDescent="0.2">
      <c r="B64" s="69" t="s">
        <v>118</v>
      </c>
      <c r="C64" s="69" t="s">
        <v>27</v>
      </c>
      <c r="D64" s="70" t="s">
        <v>107</v>
      </c>
      <c r="E64" s="60"/>
      <c r="F64" s="73">
        <f>SUM(G64:R64)</f>
        <v>817213.62000000011</v>
      </c>
      <c r="G64" s="74">
        <v>71223.710000000006</v>
      </c>
      <c r="H64" s="74">
        <v>59395.7</v>
      </c>
      <c r="I64" s="74">
        <v>66289.53</v>
      </c>
      <c r="J64" s="74">
        <v>73852.34</v>
      </c>
      <c r="K64" s="74">
        <v>81628.77</v>
      </c>
      <c r="L64" s="74">
        <v>81717.64</v>
      </c>
      <c r="M64" s="74">
        <v>63149.13</v>
      </c>
      <c r="N64" s="74">
        <v>64018.37</v>
      </c>
      <c r="O64" s="74">
        <v>95159.55</v>
      </c>
      <c r="P64" s="74">
        <v>57988.26</v>
      </c>
      <c r="Q64" s="74">
        <v>47682.39</v>
      </c>
      <c r="R64" s="74">
        <v>55108.23</v>
      </c>
      <c r="S64" s="29"/>
      <c r="Z64" s="72">
        <v>817213.62</v>
      </c>
      <c r="AA64" s="45">
        <f t="shared" si="2"/>
        <v>0</v>
      </c>
      <c r="AI64" s="45">
        <f>+F64</f>
        <v>817213.62000000011</v>
      </c>
    </row>
    <row r="65" spans="2:35" x14ac:dyDescent="0.2">
      <c r="B65" s="69" t="s">
        <v>119</v>
      </c>
      <c r="C65" s="69" t="s">
        <v>27</v>
      </c>
      <c r="D65" s="70" t="s">
        <v>120</v>
      </c>
      <c r="E65" s="60"/>
      <c r="F65" s="73">
        <f>SUM(G65:R65)</f>
        <v>817213.62000000011</v>
      </c>
      <c r="G65" s="74">
        <f>+G64</f>
        <v>71223.710000000006</v>
      </c>
      <c r="H65" s="74">
        <f t="shared" ref="H65:R65" si="31">+H64</f>
        <v>59395.7</v>
      </c>
      <c r="I65" s="74">
        <f t="shared" si="31"/>
        <v>66289.53</v>
      </c>
      <c r="J65" s="74">
        <f t="shared" si="31"/>
        <v>73852.34</v>
      </c>
      <c r="K65" s="74">
        <f t="shared" si="31"/>
        <v>81628.77</v>
      </c>
      <c r="L65" s="74">
        <f t="shared" si="31"/>
        <v>81717.64</v>
      </c>
      <c r="M65" s="74">
        <f t="shared" si="31"/>
        <v>63149.13</v>
      </c>
      <c r="N65" s="74">
        <f t="shared" si="31"/>
        <v>64018.37</v>
      </c>
      <c r="O65" s="74">
        <f t="shared" si="31"/>
        <v>95159.55</v>
      </c>
      <c r="P65" s="74">
        <f t="shared" si="31"/>
        <v>57988.26</v>
      </c>
      <c r="Q65" s="74">
        <f t="shared" si="31"/>
        <v>47682.39</v>
      </c>
      <c r="R65" s="74">
        <f t="shared" si="31"/>
        <v>55108.23</v>
      </c>
      <c r="S65" s="29"/>
      <c r="Z65" s="72">
        <v>817213.62</v>
      </c>
      <c r="AA65" s="45">
        <f t="shared" si="2"/>
        <v>0</v>
      </c>
      <c r="AI65" s="45">
        <f>+F65</f>
        <v>817213.62000000011</v>
      </c>
    </row>
    <row r="66" spans="2:35" x14ac:dyDescent="0.2">
      <c r="B66" s="57" t="s">
        <v>121</v>
      </c>
      <c r="C66" s="57"/>
      <c r="D66" s="59" t="s">
        <v>122</v>
      </c>
      <c r="E66" s="60"/>
      <c r="F66" s="77">
        <f>SUM(F67:F68)</f>
        <v>123108.58</v>
      </c>
      <c r="G66" s="78">
        <f>SUM(G67:G68)</f>
        <v>62270.06</v>
      </c>
      <c r="H66" s="78">
        <f t="shared" ref="H66:Z66" si="32">SUM(H67:H68)</f>
        <v>10593.66</v>
      </c>
      <c r="I66" s="78">
        <f t="shared" si="32"/>
        <v>10748.259999999998</v>
      </c>
      <c r="J66" s="78">
        <f t="shared" si="32"/>
        <v>9217.08</v>
      </c>
      <c r="K66" s="78">
        <f t="shared" si="32"/>
        <v>8259.6200000000008</v>
      </c>
      <c r="L66" s="78">
        <f t="shared" si="32"/>
        <v>2830.1800000000003</v>
      </c>
      <c r="M66" s="78">
        <f t="shared" si="32"/>
        <v>2438.1600000000003</v>
      </c>
      <c r="N66" s="78">
        <f t="shared" si="32"/>
        <v>2438.1600000000003</v>
      </c>
      <c r="O66" s="78">
        <f t="shared" si="32"/>
        <v>4658.6000000000004</v>
      </c>
      <c r="P66" s="78">
        <f t="shared" si="32"/>
        <v>2276.71</v>
      </c>
      <c r="Q66" s="78">
        <f t="shared" si="32"/>
        <v>3507.13</v>
      </c>
      <c r="R66" s="78">
        <f t="shared" si="32"/>
        <v>3870.96</v>
      </c>
      <c r="S66" s="81">
        <f t="shared" si="32"/>
        <v>0</v>
      </c>
      <c r="T66" s="81"/>
      <c r="U66" s="81"/>
      <c r="V66" s="81"/>
      <c r="W66" s="81"/>
      <c r="X66" s="81"/>
      <c r="Y66" s="81"/>
      <c r="Z66" s="48">
        <f t="shared" si="32"/>
        <v>123108.58</v>
      </c>
      <c r="AA66" s="45">
        <f t="shared" si="2"/>
        <v>0</v>
      </c>
      <c r="AB66" s="82"/>
      <c r="AC66" s="82"/>
      <c r="AD66" s="82"/>
      <c r="AE66" s="82"/>
      <c r="AF66" s="82"/>
      <c r="AH66" s="83"/>
      <c r="AI66" s="45"/>
    </row>
    <row r="67" spans="2:35" x14ac:dyDescent="0.2">
      <c r="B67" s="69" t="s">
        <v>123</v>
      </c>
      <c r="C67" s="69" t="s">
        <v>27</v>
      </c>
      <c r="D67" s="70" t="s">
        <v>107</v>
      </c>
      <c r="E67" s="60"/>
      <c r="F67" s="73">
        <f>SUM(G67:R67)</f>
        <v>110903.6</v>
      </c>
      <c r="G67" s="74">
        <v>59814.36</v>
      </c>
      <c r="H67" s="74">
        <v>9669.64</v>
      </c>
      <c r="I67" s="74">
        <v>8543.7999999999993</v>
      </c>
      <c r="J67" s="74">
        <v>7496.48</v>
      </c>
      <c r="K67" s="74">
        <v>6495.89</v>
      </c>
      <c r="L67" s="74">
        <v>2608.7800000000002</v>
      </c>
      <c r="M67" s="74">
        <v>2265.88</v>
      </c>
      <c r="N67" s="74">
        <v>2265.88</v>
      </c>
      <c r="O67" s="74">
        <v>3376.1</v>
      </c>
      <c r="P67" s="74">
        <v>2175.9</v>
      </c>
      <c r="Q67" s="74">
        <v>2983.38</v>
      </c>
      <c r="R67" s="74">
        <v>3207.51</v>
      </c>
      <c r="S67" s="29"/>
      <c r="Z67" s="72">
        <v>110903.6</v>
      </c>
      <c r="AA67" s="45">
        <f t="shared" si="2"/>
        <v>0</v>
      </c>
      <c r="AI67" s="45">
        <f>+F67</f>
        <v>110903.6</v>
      </c>
    </row>
    <row r="68" spans="2:35" x14ac:dyDescent="0.2">
      <c r="B68" s="69" t="s">
        <v>124</v>
      </c>
      <c r="C68" s="69" t="s">
        <v>27</v>
      </c>
      <c r="D68" s="70" t="s">
        <v>125</v>
      </c>
      <c r="E68" s="60"/>
      <c r="F68" s="71">
        <f>SUM(G68:R68)</f>
        <v>12204.980000000001</v>
      </c>
      <c r="G68" s="72">
        <v>2455.6999999999998</v>
      </c>
      <c r="H68" s="72">
        <v>924.02</v>
      </c>
      <c r="I68" s="72">
        <v>2204.46</v>
      </c>
      <c r="J68" s="72">
        <v>1720.6</v>
      </c>
      <c r="K68" s="72">
        <v>1763.73</v>
      </c>
      <c r="L68" s="72">
        <v>221.4</v>
      </c>
      <c r="M68" s="72">
        <v>172.28</v>
      </c>
      <c r="N68" s="72">
        <v>172.28</v>
      </c>
      <c r="O68" s="72">
        <v>1282.5</v>
      </c>
      <c r="P68" s="72">
        <v>100.81</v>
      </c>
      <c r="Q68" s="72">
        <v>523.75</v>
      </c>
      <c r="R68" s="72">
        <v>663.45</v>
      </c>
      <c r="Z68" s="72">
        <v>12204.98</v>
      </c>
      <c r="AA68" s="45">
        <f t="shared" si="2"/>
        <v>0</v>
      </c>
      <c r="AI68" s="45">
        <f>+F68</f>
        <v>12204.980000000001</v>
      </c>
    </row>
    <row r="69" spans="2:35" s="62" customFormat="1" x14ac:dyDescent="0.2">
      <c r="B69" s="63" t="s">
        <v>126</v>
      </c>
      <c r="C69" s="63"/>
      <c r="D69" s="64" t="s">
        <v>127</v>
      </c>
      <c r="E69" s="65"/>
      <c r="F69" s="66">
        <f t="shared" ref="F69:R69" si="33">+F70+F124+F230</f>
        <v>9020212.0961999986</v>
      </c>
      <c r="G69" s="67">
        <f t="shared" si="33"/>
        <v>1001449.3887</v>
      </c>
      <c r="H69" s="67">
        <f t="shared" si="33"/>
        <v>592379.35950000014</v>
      </c>
      <c r="I69" s="67">
        <f t="shared" si="33"/>
        <v>625512.24479999999</v>
      </c>
      <c r="J69" s="67">
        <f t="shared" si="33"/>
        <v>662545.64480000001</v>
      </c>
      <c r="K69" s="67">
        <f t="shared" si="33"/>
        <v>780936.16320000018</v>
      </c>
      <c r="L69" s="67">
        <f t="shared" si="33"/>
        <v>630927.54680000001</v>
      </c>
      <c r="M69" s="67">
        <f t="shared" si="33"/>
        <v>496858.24586666666</v>
      </c>
      <c r="N69" s="67">
        <f t="shared" si="33"/>
        <v>503180.96586666658</v>
      </c>
      <c r="O69" s="67">
        <f t="shared" si="33"/>
        <v>842881.06836666656</v>
      </c>
      <c r="P69" s="67">
        <f t="shared" si="33"/>
        <v>463461.80009999999</v>
      </c>
      <c r="Q69" s="67">
        <f t="shared" si="33"/>
        <v>485003.25539999991</v>
      </c>
      <c r="R69" s="67">
        <f t="shared" si="33"/>
        <v>450004.41279999993</v>
      </c>
      <c r="T69" s="29"/>
      <c r="U69" s="29"/>
      <c r="V69" s="29"/>
      <c r="W69" s="29"/>
      <c r="X69" s="29"/>
      <c r="Y69" s="29"/>
      <c r="Z69" s="67">
        <f>+Z70+Z124+Z230</f>
        <v>7535140.0999999996</v>
      </c>
      <c r="AA69" s="45">
        <f t="shared" si="2"/>
        <v>-1485071.996199999</v>
      </c>
      <c r="AG69" s="32"/>
      <c r="AH69" s="68"/>
      <c r="AI69" s="84"/>
    </row>
    <row r="70" spans="2:35" x14ac:dyDescent="0.2">
      <c r="B70" s="57" t="s">
        <v>128</v>
      </c>
      <c r="C70" s="57"/>
      <c r="D70" s="59" t="s">
        <v>129</v>
      </c>
      <c r="E70" s="60"/>
      <c r="F70" s="61">
        <f>+F71+F76+F88+F90+F92+F99+F117+F120+F115</f>
        <v>2750869.4161999999</v>
      </c>
      <c r="G70" s="48">
        <f t="shared" ref="G70:R70" si="34">+G71+G76+G88+G90+G92+G99+G117+G120</f>
        <v>372324.23870000005</v>
      </c>
      <c r="H70" s="48">
        <f t="shared" si="34"/>
        <v>88055.079500000007</v>
      </c>
      <c r="I70" s="48">
        <f t="shared" si="34"/>
        <v>79160.774799999999</v>
      </c>
      <c r="J70" s="48">
        <f t="shared" si="34"/>
        <v>95217.044800000003</v>
      </c>
      <c r="K70" s="48">
        <f t="shared" si="34"/>
        <v>203320.5632</v>
      </c>
      <c r="L70" s="48">
        <f t="shared" si="34"/>
        <v>60302.676800000001</v>
      </c>
      <c r="M70" s="48">
        <f t="shared" si="34"/>
        <v>73198.875866666669</v>
      </c>
      <c r="N70" s="48">
        <f t="shared" si="34"/>
        <v>63198.875866666669</v>
      </c>
      <c r="O70" s="48">
        <f t="shared" si="34"/>
        <v>67916.40836666667</v>
      </c>
      <c r="P70" s="48">
        <f t="shared" si="34"/>
        <v>38795.530100000004</v>
      </c>
      <c r="Q70" s="48">
        <f t="shared" si="34"/>
        <v>71278.005399999995</v>
      </c>
      <c r="R70" s="48">
        <f t="shared" si="34"/>
        <v>53029.342799999999</v>
      </c>
      <c r="Z70" s="48">
        <f>+Z71+Z76+Z88+Z90+Z92+Z99+Z117+Z120</f>
        <v>1265797.4200000002</v>
      </c>
      <c r="AA70" s="45">
        <f t="shared" si="2"/>
        <v>-1485071.9961999997</v>
      </c>
      <c r="AI70" s="45"/>
    </row>
    <row r="71" spans="2:35" x14ac:dyDescent="0.2">
      <c r="B71" s="57" t="s">
        <v>130</v>
      </c>
      <c r="C71" s="57"/>
      <c r="D71" s="59" t="s">
        <v>131</v>
      </c>
      <c r="E71" s="60"/>
      <c r="F71" s="61">
        <f>+F72+F74</f>
        <v>238269.53999999998</v>
      </c>
      <c r="G71" s="48">
        <f t="shared" ref="G71:R71" si="35">+G72+G74</f>
        <v>5000</v>
      </c>
      <c r="H71" s="48">
        <f t="shared" si="35"/>
        <v>5000</v>
      </c>
      <c r="I71" s="48">
        <f t="shared" si="35"/>
        <v>5000</v>
      </c>
      <c r="J71" s="48">
        <f t="shared" si="35"/>
        <v>20600</v>
      </c>
      <c r="K71" s="48">
        <f t="shared" si="35"/>
        <v>82399.989999999991</v>
      </c>
      <c r="L71" s="48">
        <f t="shared" si="35"/>
        <v>6269.55</v>
      </c>
      <c r="M71" s="48">
        <f t="shared" si="35"/>
        <v>43000</v>
      </c>
      <c r="N71" s="48">
        <f t="shared" si="35"/>
        <v>33000</v>
      </c>
      <c r="O71" s="48">
        <f t="shared" si="35"/>
        <v>23000</v>
      </c>
      <c r="P71" s="48">
        <f t="shared" si="35"/>
        <v>5000</v>
      </c>
      <c r="Q71" s="48">
        <f t="shared" si="35"/>
        <v>5000</v>
      </c>
      <c r="R71" s="48">
        <f t="shared" si="35"/>
        <v>5000</v>
      </c>
      <c r="Z71" s="48">
        <f t="shared" ref="Z71" si="36">+Z72+Z74</f>
        <v>238269.53999999998</v>
      </c>
      <c r="AA71" s="45">
        <f t="shared" si="2"/>
        <v>0</v>
      </c>
      <c r="AI71" s="45"/>
    </row>
    <row r="72" spans="2:35" x14ac:dyDescent="0.2">
      <c r="B72" s="57" t="s">
        <v>132</v>
      </c>
      <c r="C72" s="57"/>
      <c r="D72" s="59" t="s">
        <v>133</v>
      </c>
      <c r="E72" s="60"/>
      <c r="F72" s="61">
        <f>+F73</f>
        <v>44782.61</v>
      </c>
      <c r="G72" s="48">
        <f t="shared" ref="G72:Z72" si="37">+G73</f>
        <v>0</v>
      </c>
      <c r="H72" s="48">
        <f t="shared" si="37"/>
        <v>0</v>
      </c>
      <c r="I72" s="48">
        <f t="shared" si="37"/>
        <v>0</v>
      </c>
      <c r="J72" s="48">
        <f t="shared" si="37"/>
        <v>0</v>
      </c>
      <c r="K72" s="48">
        <f t="shared" si="37"/>
        <v>44782.61</v>
      </c>
      <c r="L72" s="48">
        <f t="shared" si="37"/>
        <v>0</v>
      </c>
      <c r="M72" s="48">
        <f t="shared" si="37"/>
        <v>0</v>
      </c>
      <c r="N72" s="48">
        <f t="shared" si="37"/>
        <v>0</v>
      </c>
      <c r="O72" s="48">
        <f t="shared" si="37"/>
        <v>0</v>
      </c>
      <c r="P72" s="48">
        <f t="shared" si="37"/>
        <v>0</v>
      </c>
      <c r="Q72" s="48">
        <f t="shared" si="37"/>
        <v>0</v>
      </c>
      <c r="R72" s="48">
        <f t="shared" si="37"/>
        <v>0</v>
      </c>
      <c r="Z72" s="48">
        <f t="shared" si="37"/>
        <v>44782.61</v>
      </c>
      <c r="AA72" s="45">
        <f t="shared" si="2"/>
        <v>0</v>
      </c>
      <c r="AI72" s="45"/>
    </row>
    <row r="73" spans="2:35" x14ac:dyDescent="0.2">
      <c r="B73" s="69" t="s">
        <v>134</v>
      </c>
      <c r="C73" s="69" t="s">
        <v>135</v>
      </c>
      <c r="D73" s="70" t="s">
        <v>136</v>
      </c>
      <c r="E73" s="60"/>
      <c r="F73" s="71">
        <f>SUM(G73:R73)</f>
        <v>44782.61</v>
      </c>
      <c r="G73" s="72">
        <v>0</v>
      </c>
      <c r="H73" s="72">
        <v>0</v>
      </c>
      <c r="I73" s="72">
        <v>0</v>
      </c>
      <c r="J73" s="72">
        <v>0</v>
      </c>
      <c r="K73" s="72">
        <v>44782.61</v>
      </c>
      <c r="L73" s="72">
        <v>0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Z73" s="72">
        <v>44782.61</v>
      </c>
      <c r="AA73" s="45">
        <f t="shared" si="2"/>
        <v>0</v>
      </c>
      <c r="AI73" s="45">
        <f>+F73</f>
        <v>44782.61</v>
      </c>
    </row>
    <row r="74" spans="2:35" x14ac:dyDescent="0.2">
      <c r="B74" s="57" t="s">
        <v>137</v>
      </c>
      <c r="C74" s="57"/>
      <c r="D74" s="59" t="s">
        <v>138</v>
      </c>
      <c r="E74" s="60"/>
      <c r="F74" s="61">
        <f>+F75</f>
        <v>193486.93</v>
      </c>
      <c r="G74" s="48">
        <f t="shared" ref="G74:Z74" si="38">+G75</f>
        <v>5000</v>
      </c>
      <c r="H74" s="48">
        <f t="shared" si="38"/>
        <v>5000</v>
      </c>
      <c r="I74" s="48">
        <f t="shared" si="38"/>
        <v>5000</v>
      </c>
      <c r="J74" s="48">
        <f t="shared" si="38"/>
        <v>20600</v>
      </c>
      <c r="K74" s="48">
        <f t="shared" si="38"/>
        <v>37617.379999999997</v>
      </c>
      <c r="L74" s="48">
        <f t="shared" si="38"/>
        <v>6269.55</v>
      </c>
      <c r="M74" s="48">
        <f t="shared" si="38"/>
        <v>43000</v>
      </c>
      <c r="N74" s="48">
        <f t="shared" si="38"/>
        <v>33000</v>
      </c>
      <c r="O74" s="48">
        <f t="shared" si="38"/>
        <v>23000</v>
      </c>
      <c r="P74" s="48">
        <f t="shared" si="38"/>
        <v>5000</v>
      </c>
      <c r="Q74" s="48">
        <f t="shared" si="38"/>
        <v>5000</v>
      </c>
      <c r="R74" s="48">
        <f t="shared" si="38"/>
        <v>5000</v>
      </c>
      <c r="Z74" s="48">
        <f t="shared" si="38"/>
        <v>193486.93</v>
      </c>
      <c r="AA74" s="45">
        <f t="shared" si="2"/>
        <v>0</v>
      </c>
      <c r="AI74" s="45"/>
    </row>
    <row r="75" spans="2:35" x14ac:dyDescent="0.2">
      <c r="B75" s="69" t="s">
        <v>139</v>
      </c>
      <c r="C75" s="69" t="s">
        <v>135</v>
      </c>
      <c r="D75" s="70" t="s">
        <v>140</v>
      </c>
      <c r="E75" s="60"/>
      <c r="F75" s="71">
        <f>SUM(G75:R75)</f>
        <v>193486.93</v>
      </c>
      <c r="G75" s="72">
        <v>5000</v>
      </c>
      <c r="H75" s="72">
        <v>5000</v>
      </c>
      <c r="I75" s="72">
        <v>5000</v>
      </c>
      <c r="J75" s="72">
        <v>20600</v>
      </c>
      <c r="K75" s="72">
        <v>37617.379999999997</v>
      </c>
      <c r="L75" s="72">
        <v>6269.55</v>
      </c>
      <c r="M75" s="72">
        <v>43000</v>
      </c>
      <c r="N75" s="72">
        <v>33000</v>
      </c>
      <c r="O75" s="72">
        <v>23000</v>
      </c>
      <c r="P75" s="72">
        <v>5000</v>
      </c>
      <c r="Q75" s="72">
        <v>5000</v>
      </c>
      <c r="R75" s="72">
        <v>5000</v>
      </c>
      <c r="Z75" s="72">
        <v>193486.93</v>
      </c>
      <c r="AA75" s="45">
        <f t="shared" si="2"/>
        <v>0</v>
      </c>
      <c r="AG75" s="45">
        <f>192608.68*1.03</f>
        <v>198386.94039999999</v>
      </c>
      <c r="AI75" s="45">
        <f>+F75</f>
        <v>193486.93</v>
      </c>
    </row>
    <row r="76" spans="2:35" x14ac:dyDescent="0.2">
      <c r="B76" s="57" t="s">
        <v>141</v>
      </c>
      <c r="C76" s="57"/>
      <c r="D76" s="59" t="s">
        <v>142</v>
      </c>
      <c r="E76" s="60"/>
      <c r="F76" s="61">
        <f>SUM(F77:F87)</f>
        <v>85895.5</v>
      </c>
      <c r="G76" s="48">
        <f t="shared" ref="G76:Z76" si="39">SUM(G77:G87)</f>
        <v>135.59</v>
      </c>
      <c r="H76" s="48">
        <f t="shared" si="39"/>
        <v>18135.739999999998</v>
      </c>
      <c r="I76" s="48">
        <f t="shared" si="39"/>
        <v>0</v>
      </c>
      <c r="J76" s="48">
        <f t="shared" si="39"/>
        <v>935.94</v>
      </c>
      <c r="K76" s="48">
        <f t="shared" si="39"/>
        <v>31208.37</v>
      </c>
      <c r="L76" s="48">
        <f t="shared" si="39"/>
        <v>11910.52</v>
      </c>
      <c r="M76" s="48">
        <f t="shared" si="39"/>
        <v>0</v>
      </c>
      <c r="N76" s="48">
        <f t="shared" si="39"/>
        <v>0</v>
      </c>
      <c r="O76" s="48">
        <f t="shared" si="39"/>
        <v>188.97</v>
      </c>
      <c r="P76" s="48">
        <f t="shared" si="39"/>
        <v>0</v>
      </c>
      <c r="Q76" s="48">
        <f t="shared" si="39"/>
        <v>19005.489999999998</v>
      </c>
      <c r="R76" s="48">
        <f t="shared" si="39"/>
        <v>4374.88</v>
      </c>
      <c r="Z76" s="48">
        <f t="shared" si="39"/>
        <v>85895.5</v>
      </c>
      <c r="AA76" s="45">
        <f t="shared" si="2"/>
        <v>0</v>
      </c>
      <c r="AI76" s="45"/>
    </row>
    <row r="77" spans="2:35" x14ac:dyDescent="0.2">
      <c r="B77" s="69" t="s">
        <v>143</v>
      </c>
      <c r="C77" s="69" t="s">
        <v>135</v>
      </c>
      <c r="D77" s="70" t="s">
        <v>144</v>
      </c>
      <c r="E77" s="60"/>
      <c r="F77" s="71">
        <f t="shared" ref="F77:F87" si="40">SUM(G77:R77)</f>
        <v>24594.61</v>
      </c>
      <c r="G77" s="72">
        <v>0</v>
      </c>
      <c r="H77" s="72">
        <v>0</v>
      </c>
      <c r="I77" s="72">
        <v>0</v>
      </c>
      <c r="J77" s="72">
        <v>0</v>
      </c>
      <c r="K77" s="72">
        <v>24594.61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Z77" s="72">
        <v>24594.61</v>
      </c>
      <c r="AA77" s="45">
        <f t="shared" si="2"/>
        <v>0</v>
      </c>
      <c r="AI77" s="45">
        <f t="shared" ref="AI77:AI87" si="41">+F77</f>
        <v>24594.61</v>
      </c>
    </row>
    <row r="78" spans="2:35" x14ac:dyDescent="0.2">
      <c r="B78" s="69" t="s">
        <v>145</v>
      </c>
      <c r="C78" s="69" t="s">
        <v>135</v>
      </c>
      <c r="D78" s="70" t="s">
        <v>146</v>
      </c>
      <c r="E78" s="60"/>
      <c r="F78" s="71">
        <f t="shared" si="40"/>
        <v>1343.48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1343.48</v>
      </c>
      <c r="Z78" s="72">
        <v>1343.48</v>
      </c>
      <c r="AA78" s="45">
        <f t="shared" si="2"/>
        <v>0</v>
      </c>
      <c r="AI78" s="45">
        <f t="shared" si="41"/>
        <v>1343.48</v>
      </c>
    </row>
    <row r="79" spans="2:35" x14ac:dyDescent="0.2">
      <c r="B79" s="69" t="s">
        <v>147</v>
      </c>
      <c r="C79" s="69" t="s">
        <v>135</v>
      </c>
      <c r="D79" s="70" t="s">
        <v>148</v>
      </c>
      <c r="E79" s="60"/>
      <c r="F79" s="71">
        <f t="shared" si="40"/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72">
        <v>0</v>
      </c>
      <c r="Z79" s="72">
        <v>0</v>
      </c>
      <c r="AA79" s="45">
        <f t="shared" ref="AA79:AA144" si="42">+Z79-F79</f>
        <v>0</v>
      </c>
      <c r="AI79" s="45">
        <f t="shared" si="41"/>
        <v>0</v>
      </c>
    </row>
    <row r="80" spans="2:35" x14ac:dyDescent="0.2">
      <c r="B80" s="69" t="s">
        <v>149</v>
      </c>
      <c r="C80" s="69" t="s">
        <v>135</v>
      </c>
      <c r="D80" s="70" t="s">
        <v>150</v>
      </c>
      <c r="E80" s="60"/>
      <c r="F80" s="71">
        <f t="shared" si="40"/>
        <v>1031.81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1031.81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Z80" s="72">
        <v>1031.81</v>
      </c>
      <c r="AA80" s="45">
        <f t="shared" si="42"/>
        <v>0</v>
      </c>
      <c r="AI80" s="45">
        <f t="shared" si="41"/>
        <v>1031.81</v>
      </c>
    </row>
    <row r="81" spans="2:35" x14ac:dyDescent="0.2">
      <c r="B81" s="69" t="s">
        <v>151</v>
      </c>
      <c r="C81" s="69" t="s">
        <v>135</v>
      </c>
      <c r="D81" s="70" t="s">
        <v>152</v>
      </c>
      <c r="E81" s="60"/>
      <c r="F81" s="73">
        <f t="shared" si="40"/>
        <v>0</v>
      </c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29"/>
      <c r="Z81" s="72">
        <v>0</v>
      </c>
      <c r="AA81" s="45">
        <f t="shared" si="42"/>
        <v>0</v>
      </c>
      <c r="AI81" s="45">
        <f t="shared" si="41"/>
        <v>0</v>
      </c>
    </row>
    <row r="82" spans="2:35" x14ac:dyDescent="0.2">
      <c r="B82" s="69" t="s">
        <v>153</v>
      </c>
      <c r="C82" s="69" t="s">
        <v>135</v>
      </c>
      <c r="D82" s="70" t="s">
        <v>154</v>
      </c>
      <c r="E82" s="60"/>
      <c r="F82" s="73">
        <f t="shared" si="40"/>
        <v>17601.8</v>
      </c>
      <c r="G82" s="74">
        <v>0</v>
      </c>
      <c r="H82" s="74">
        <v>0</v>
      </c>
      <c r="I82" s="74">
        <v>0</v>
      </c>
      <c r="J82" s="74">
        <v>661.88</v>
      </c>
      <c r="K82" s="74">
        <v>6354.07</v>
      </c>
      <c r="L82" s="74">
        <v>10585.85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R82" s="74">
        <v>0</v>
      </c>
      <c r="S82" s="29"/>
      <c r="Z82" s="75">
        <v>17601.8</v>
      </c>
      <c r="AA82" s="45">
        <f t="shared" si="42"/>
        <v>0</v>
      </c>
      <c r="AI82" s="45">
        <f t="shared" si="41"/>
        <v>17601.8</v>
      </c>
    </row>
    <row r="83" spans="2:35" x14ac:dyDescent="0.2">
      <c r="B83" s="69" t="s">
        <v>155</v>
      </c>
      <c r="C83" s="69" t="s">
        <v>135</v>
      </c>
      <c r="D83" s="70" t="s">
        <v>156</v>
      </c>
      <c r="E83" s="60"/>
      <c r="F83" s="73">
        <f t="shared" si="40"/>
        <v>481.83000000000004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292.86</v>
      </c>
      <c r="M83" s="74">
        <v>0</v>
      </c>
      <c r="N83" s="74">
        <v>0</v>
      </c>
      <c r="O83" s="74">
        <v>188.97</v>
      </c>
      <c r="P83" s="74">
        <v>0</v>
      </c>
      <c r="Q83" s="74">
        <v>0</v>
      </c>
      <c r="R83" s="74">
        <v>0</v>
      </c>
      <c r="S83" s="29"/>
      <c r="Z83" s="72">
        <v>481.83</v>
      </c>
      <c r="AA83" s="45">
        <f t="shared" si="42"/>
        <v>0</v>
      </c>
      <c r="AI83" s="45">
        <f t="shared" si="41"/>
        <v>481.83000000000004</v>
      </c>
    </row>
    <row r="84" spans="2:35" x14ac:dyDescent="0.2">
      <c r="B84" s="69" t="s">
        <v>157</v>
      </c>
      <c r="C84" s="69" t="s">
        <v>135</v>
      </c>
      <c r="D84" s="70" t="s">
        <v>158</v>
      </c>
      <c r="E84" s="60"/>
      <c r="F84" s="73">
        <f t="shared" si="40"/>
        <v>323.12</v>
      </c>
      <c r="G84" s="74">
        <v>135.59</v>
      </c>
      <c r="H84" s="74">
        <v>187.53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29"/>
      <c r="Z84" s="72">
        <v>323.12</v>
      </c>
      <c r="AA84" s="45">
        <f t="shared" si="42"/>
        <v>0</v>
      </c>
      <c r="AI84" s="45">
        <f t="shared" si="41"/>
        <v>323.12</v>
      </c>
    </row>
    <row r="85" spans="2:35" x14ac:dyDescent="0.2">
      <c r="B85" s="69" t="s">
        <v>159</v>
      </c>
      <c r="C85" s="69" t="s">
        <v>135</v>
      </c>
      <c r="D85" s="70" t="s">
        <v>160</v>
      </c>
      <c r="E85" s="60"/>
      <c r="F85" s="73">
        <f t="shared" si="40"/>
        <v>353.51</v>
      </c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353.51</v>
      </c>
      <c r="R85" s="74">
        <v>0</v>
      </c>
      <c r="S85" s="29"/>
      <c r="Z85" s="72">
        <v>353.51</v>
      </c>
      <c r="AA85" s="45">
        <f t="shared" si="42"/>
        <v>0</v>
      </c>
      <c r="AI85" s="45">
        <f t="shared" si="41"/>
        <v>353.51</v>
      </c>
    </row>
    <row r="86" spans="2:35" x14ac:dyDescent="0.2">
      <c r="B86" s="69" t="s">
        <v>161</v>
      </c>
      <c r="C86" s="69" t="s">
        <v>135</v>
      </c>
      <c r="D86" s="70" t="s">
        <v>162</v>
      </c>
      <c r="E86" s="60"/>
      <c r="F86" s="73">
        <f t="shared" si="40"/>
        <v>0</v>
      </c>
      <c r="G86" s="74">
        <v>0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29"/>
      <c r="Z86" s="72">
        <v>0</v>
      </c>
      <c r="AA86" s="45">
        <f t="shared" si="42"/>
        <v>0</v>
      </c>
      <c r="AI86" s="45">
        <f t="shared" si="41"/>
        <v>0</v>
      </c>
    </row>
    <row r="87" spans="2:35" x14ac:dyDescent="0.2">
      <c r="B87" s="69" t="s">
        <v>163</v>
      </c>
      <c r="C87" s="69" t="s">
        <v>135</v>
      </c>
      <c r="D87" s="70" t="s">
        <v>164</v>
      </c>
      <c r="E87" s="60"/>
      <c r="F87" s="73">
        <f t="shared" si="40"/>
        <v>40165.340000000004</v>
      </c>
      <c r="G87" s="74">
        <v>0</v>
      </c>
      <c r="H87" s="74">
        <v>17948.21</v>
      </c>
      <c r="I87" s="74">
        <v>0</v>
      </c>
      <c r="J87" s="74">
        <v>274.06</v>
      </c>
      <c r="K87" s="74">
        <v>259.69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18651.98</v>
      </c>
      <c r="R87" s="74">
        <v>3031.4</v>
      </c>
      <c r="S87" s="29"/>
      <c r="Z87" s="75">
        <v>40165.339999999997</v>
      </c>
      <c r="AA87" s="45">
        <f t="shared" si="42"/>
        <v>0</v>
      </c>
      <c r="AI87" s="45">
        <f t="shared" si="41"/>
        <v>40165.340000000004</v>
      </c>
    </row>
    <row r="88" spans="2:35" x14ac:dyDescent="0.2">
      <c r="B88" s="57" t="s">
        <v>165</v>
      </c>
      <c r="C88" s="57"/>
      <c r="D88" s="59" t="s">
        <v>166</v>
      </c>
      <c r="E88" s="60"/>
      <c r="F88" s="77">
        <f>+F89</f>
        <v>539.3904</v>
      </c>
      <c r="G88" s="78">
        <f t="shared" ref="G88:Z88" si="43">+G89</f>
        <v>0</v>
      </c>
      <c r="H88" s="78">
        <f t="shared" si="43"/>
        <v>0</v>
      </c>
      <c r="I88" s="78">
        <f t="shared" si="43"/>
        <v>0</v>
      </c>
      <c r="J88" s="78">
        <f t="shared" si="43"/>
        <v>0</v>
      </c>
      <c r="K88" s="78">
        <f t="shared" si="43"/>
        <v>0</v>
      </c>
      <c r="L88" s="78">
        <f t="shared" si="43"/>
        <v>0</v>
      </c>
      <c r="M88" s="78">
        <f t="shared" si="43"/>
        <v>0</v>
      </c>
      <c r="N88" s="78">
        <f t="shared" si="43"/>
        <v>0</v>
      </c>
      <c r="O88" s="78">
        <f t="shared" si="43"/>
        <v>0</v>
      </c>
      <c r="P88" s="78">
        <f t="shared" si="43"/>
        <v>0</v>
      </c>
      <c r="Q88" s="78">
        <f t="shared" si="43"/>
        <v>0</v>
      </c>
      <c r="R88" s="78">
        <f t="shared" si="43"/>
        <v>539.3904</v>
      </c>
      <c r="S88" s="29"/>
      <c r="Z88" s="48">
        <f t="shared" si="43"/>
        <v>539.39</v>
      </c>
      <c r="AA88" s="45">
        <f t="shared" si="42"/>
        <v>-4.0000000001327862E-4</v>
      </c>
      <c r="AI88" s="45"/>
    </row>
    <row r="89" spans="2:35" x14ac:dyDescent="0.2">
      <c r="B89" s="69" t="s">
        <v>167</v>
      </c>
      <c r="C89" s="69" t="s">
        <v>135</v>
      </c>
      <c r="D89" s="70" t="s">
        <v>168</v>
      </c>
      <c r="E89" s="60"/>
      <c r="F89" s="73">
        <f>SUM(G89:R89)</f>
        <v>539.3904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>
        <f>523.68*1.03</f>
        <v>539.3904</v>
      </c>
      <c r="S89" s="29"/>
      <c r="Z89" s="72">
        <v>539.39</v>
      </c>
      <c r="AA89" s="45">
        <f t="shared" si="42"/>
        <v>-4.0000000001327862E-4</v>
      </c>
      <c r="AI89" s="45">
        <f>+F89</f>
        <v>539.3904</v>
      </c>
    </row>
    <row r="90" spans="2:35" x14ac:dyDescent="0.2">
      <c r="B90" s="57" t="s">
        <v>169</v>
      </c>
      <c r="C90" s="57"/>
      <c r="D90" s="59" t="s">
        <v>170</v>
      </c>
      <c r="E90" s="60"/>
      <c r="F90" s="77">
        <f>+F91</f>
        <v>1522.9374</v>
      </c>
      <c r="G90" s="78">
        <f t="shared" ref="G90:Z90" si="44">+G91</f>
        <v>0</v>
      </c>
      <c r="H90" s="78">
        <f t="shared" si="44"/>
        <v>0</v>
      </c>
      <c r="I90" s="78">
        <f t="shared" si="44"/>
        <v>0</v>
      </c>
      <c r="J90" s="78">
        <f t="shared" si="44"/>
        <v>0</v>
      </c>
      <c r="K90" s="78">
        <f t="shared" si="44"/>
        <v>0</v>
      </c>
      <c r="L90" s="78">
        <f t="shared" si="44"/>
        <v>0</v>
      </c>
      <c r="M90" s="78">
        <f t="shared" si="44"/>
        <v>0</v>
      </c>
      <c r="N90" s="78">
        <f t="shared" si="44"/>
        <v>0</v>
      </c>
      <c r="O90" s="78">
        <f t="shared" si="44"/>
        <v>0</v>
      </c>
      <c r="P90" s="78">
        <f t="shared" si="44"/>
        <v>0</v>
      </c>
      <c r="Q90" s="78">
        <f t="shared" si="44"/>
        <v>0</v>
      </c>
      <c r="R90" s="78">
        <f t="shared" si="44"/>
        <v>1522.9374</v>
      </c>
      <c r="S90" s="29"/>
      <c r="Z90" s="48">
        <f t="shared" si="44"/>
        <v>1522.94</v>
      </c>
      <c r="AA90" s="45">
        <f t="shared" si="42"/>
        <v>2.6000000000294676E-3</v>
      </c>
      <c r="AI90" s="45"/>
    </row>
    <row r="91" spans="2:35" x14ac:dyDescent="0.2">
      <c r="B91" s="69" t="s">
        <v>171</v>
      </c>
      <c r="C91" s="69" t="s">
        <v>135</v>
      </c>
      <c r="D91" s="70" t="s">
        <v>172</v>
      </c>
      <c r="E91" s="60"/>
      <c r="F91" s="73">
        <f>SUM(G91:R91)</f>
        <v>1522.9374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f>1478.58*1.03</f>
        <v>1522.9374</v>
      </c>
      <c r="S91" s="29"/>
      <c r="Z91" s="72">
        <v>1522.94</v>
      </c>
      <c r="AA91" s="45">
        <f t="shared" si="42"/>
        <v>2.6000000000294676E-3</v>
      </c>
      <c r="AI91" s="45">
        <f>+F91</f>
        <v>1522.9374</v>
      </c>
    </row>
    <row r="92" spans="2:35" x14ac:dyDescent="0.2">
      <c r="B92" s="57" t="s">
        <v>173</v>
      </c>
      <c r="C92" s="57"/>
      <c r="D92" s="59" t="s">
        <v>174</v>
      </c>
      <c r="E92" s="60"/>
      <c r="F92" s="77">
        <f>+F93+F94+F97</f>
        <v>130486.9739</v>
      </c>
      <c r="G92" s="78">
        <f t="shared" ref="G92:Z92" si="45">+G93+G94+G97</f>
        <v>24522.219599999997</v>
      </c>
      <c r="H92" s="78">
        <f t="shared" si="45"/>
        <v>6803.4935000000014</v>
      </c>
      <c r="I92" s="78">
        <f t="shared" si="45"/>
        <v>11165.5897</v>
      </c>
      <c r="J92" s="78">
        <f t="shared" si="45"/>
        <v>8250.3515000000007</v>
      </c>
      <c r="K92" s="78">
        <f t="shared" si="45"/>
        <v>16133.209300000002</v>
      </c>
      <c r="L92" s="78">
        <f t="shared" si="45"/>
        <v>8680.7164000000012</v>
      </c>
      <c r="M92" s="78">
        <f t="shared" si="45"/>
        <v>8356.1566666666677</v>
      </c>
      <c r="N92" s="78">
        <f t="shared" si="45"/>
        <v>8356.1566666666677</v>
      </c>
      <c r="O92" s="78">
        <f t="shared" si="45"/>
        <v>12601.590066666668</v>
      </c>
      <c r="P92" s="78">
        <f t="shared" si="45"/>
        <v>1856.2145</v>
      </c>
      <c r="Q92" s="78">
        <f t="shared" si="45"/>
        <v>21640.918000000001</v>
      </c>
      <c r="R92" s="78">
        <f t="shared" si="45"/>
        <v>2120.3580000000002</v>
      </c>
      <c r="S92" s="29"/>
      <c r="Z92" s="48">
        <f t="shared" si="45"/>
        <v>130486.97</v>
      </c>
      <c r="AA92" s="45">
        <f t="shared" si="42"/>
        <v>-3.8999999960651621E-3</v>
      </c>
      <c r="AI92" s="45"/>
    </row>
    <row r="93" spans="2:35" s="29" customFormat="1" x14ac:dyDescent="0.2">
      <c r="B93" s="85" t="s">
        <v>175</v>
      </c>
      <c r="C93" s="86" t="s">
        <v>176</v>
      </c>
      <c r="D93" s="87" t="s">
        <v>177</v>
      </c>
      <c r="E93" s="88"/>
      <c r="F93" s="73">
        <f>SUM(G93:R93)</f>
        <v>2569.8293999999996</v>
      </c>
      <c r="G93" s="74">
        <f>156.51*1.03</f>
        <v>161.20529999999999</v>
      </c>
      <c r="H93" s="74">
        <f>260.85*1.03</f>
        <v>268.67550000000006</v>
      </c>
      <c r="I93" s="74">
        <f>260.85*1.03</f>
        <v>268.67550000000006</v>
      </c>
      <c r="J93" s="74">
        <f>260.85*1.03</f>
        <v>268.67550000000006</v>
      </c>
      <c r="K93" s="74">
        <f>417.36*1.03</f>
        <v>429.88080000000002</v>
      </c>
      <c r="L93" s="74">
        <f>208.68*1.03</f>
        <v>214.94040000000001</v>
      </c>
      <c r="M93" s="74">
        <v>0</v>
      </c>
      <c r="N93" s="74">
        <v>0</v>
      </c>
      <c r="O93" s="74">
        <f>469.53*1.03</f>
        <v>483.61590000000001</v>
      </c>
      <c r="P93" s="74">
        <f>51.15*1.03</f>
        <v>52.6845</v>
      </c>
      <c r="Q93" s="74">
        <f>204.6*1.03</f>
        <v>210.738</v>
      </c>
      <c r="R93" s="74">
        <f>204.6*1.03</f>
        <v>210.738</v>
      </c>
      <c r="Z93" s="72">
        <v>2569.83</v>
      </c>
      <c r="AA93" s="45">
        <f t="shared" si="42"/>
        <v>6.0000000030413503E-4</v>
      </c>
      <c r="AG93" s="9"/>
      <c r="AH93" s="56"/>
      <c r="AI93" s="89">
        <f>+F93</f>
        <v>2569.8293999999996</v>
      </c>
    </row>
    <row r="94" spans="2:35" x14ac:dyDescent="0.2">
      <c r="B94" s="57" t="s">
        <v>178</v>
      </c>
      <c r="C94" s="57"/>
      <c r="D94" s="59" t="s">
        <v>179</v>
      </c>
      <c r="E94" s="60"/>
      <c r="F94" s="77">
        <f>SUM(F95:F96)</f>
        <v>73461.754799999981</v>
      </c>
      <c r="G94" s="78">
        <f t="shared" ref="G94:Z94" si="46">SUM(G95:G96)</f>
        <v>24361.014299999995</v>
      </c>
      <c r="H94" s="78">
        <f t="shared" si="46"/>
        <v>6534.8180000000011</v>
      </c>
      <c r="I94" s="78">
        <f t="shared" si="46"/>
        <v>2805.2445000000002</v>
      </c>
      <c r="J94" s="78">
        <f t="shared" si="46"/>
        <v>3439.3759999999997</v>
      </c>
      <c r="K94" s="78">
        <f t="shared" si="46"/>
        <v>3976.7784999999999</v>
      </c>
      <c r="L94" s="78">
        <f t="shared" si="46"/>
        <v>3439.3759999999997</v>
      </c>
      <c r="M94" s="78">
        <f t="shared" si="46"/>
        <v>0</v>
      </c>
      <c r="N94" s="78">
        <f t="shared" si="46"/>
        <v>0</v>
      </c>
      <c r="O94" s="78">
        <f t="shared" si="46"/>
        <v>3761.8175000000001</v>
      </c>
      <c r="P94" s="78">
        <f t="shared" si="46"/>
        <v>1803.53</v>
      </c>
      <c r="Q94" s="78">
        <f t="shared" si="46"/>
        <v>21430.18</v>
      </c>
      <c r="R94" s="78">
        <f t="shared" si="46"/>
        <v>1909.6200000000001</v>
      </c>
      <c r="S94" s="81">
        <f t="shared" ref="S94" si="47">+S95</f>
        <v>0</v>
      </c>
      <c r="T94" s="81"/>
      <c r="U94" s="81"/>
      <c r="V94" s="81"/>
      <c r="W94" s="81"/>
      <c r="X94" s="81"/>
      <c r="Y94" s="81"/>
      <c r="Z94" s="48">
        <f t="shared" si="46"/>
        <v>73461.75</v>
      </c>
      <c r="AA94" s="45">
        <f t="shared" si="42"/>
        <v>-4.7999999806052074E-3</v>
      </c>
      <c r="AB94" s="82"/>
      <c r="AC94" s="82"/>
      <c r="AD94" s="82"/>
      <c r="AE94" s="82"/>
      <c r="AF94" s="82"/>
      <c r="AH94" s="83"/>
      <c r="AI94" s="45"/>
    </row>
    <row r="95" spans="2:35" x14ac:dyDescent="0.2">
      <c r="B95" s="69" t="s">
        <v>180</v>
      </c>
      <c r="C95" s="86" t="s">
        <v>176</v>
      </c>
      <c r="D95" s="70" t="s">
        <v>181</v>
      </c>
      <c r="E95" s="60"/>
      <c r="F95" s="73">
        <f>SUM(G95:R95)</f>
        <v>85847.574799999988</v>
      </c>
      <c r="G95" s="74">
        <f>33787.81*1.03</f>
        <v>34801.444299999996</v>
      </c>
      <c r="H95" s="74">
        <f>7930.6*1.03</f>
        <v>8168.5180000000009</v>
      </c>
      <c r="I95" s="74">
        <f>3026.15*1.03</f>
        <v>3116.9345000000003</v>
      </c>
      <c r="J95" s="74">
        <f>3339.2*1.03</f>
        <v>3439.3759999999997</v>
      </c>
      <c r="K95" s="74">
        <f>3860.95*1.03</f>
        <v>3976.7784999999999</v>
      </c>
      <c r="L95" s="74">
        <f>3339.2*1.03</f>
        <v>3439.3759999999997</v>
      </c>
      <c r="M95" s="74">
        <v>0</v>
      </c>
      <c r="N95" s="74">
        <v>0</v>
      </c>
      <c r="O95" s="74">
        <f>3652.25*1.03</f>
        <v>3761.8175000000001</v>
      </c>
      <c r="P95" s="74">
        <f>1751*1.03</f>
        <v>1803.53</v>
      </c>
      <c r="Q95" s="74">
        <f>20806*1.03</f>
        <v>21430.18</v>
      </c>
      <c r="R95" s="74">
        <f>1854*1.03</f>
        <v>1909.6200000000001</v>
      </c>
      <c r="S95" s="29"/>
      <c r="Z95" s="72">
        <v>85847.57</v>
      </c>
      <c r="AA95" s="45">
        <f t="shared" si="42"/>
        <v>-4.7999999806052074E-3</v>
      </c>
      <c r="AI95" s="45">
        <f>+F95</f>
        <v>85847.574799999988</v>
      </c>
    </row>
    <row r="96" spans="2:35" x14ac:dyDescent="0.2">
      <c r="B96" s="69" t="s">
        <v>182</v>
      </c>
      <c r="C96" s="86" t="s">
        <v>27</v>
      </c>
      <c r="D96" s="70" t="s">
        <v>183</v>
      </c>
      <c r="E96" s="60"/>
      <c r="F96" s="73">
        <f>SUM(G96:R96)</f>
        <v>-12385.820000000002</v>
      </c>
      <c r="G96" s="74">
        <v>-10440.43</v>
      </c>
      <c r="H96" s="74">
        <v>-1633.7</v>
      </c>
      <c r="I96" s="74">
        <v>-311.69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29"/>
      <c r="Z96" s="72">
        <v>-12385.82</v>
      </c>
      <c r="AA96" s="45">
        <f t="shared" si="42"/>
        <v>0</v>
      </c>
      <c r="AI96" s="45">
        <f>+F96</f>
        <v>-12385.820000000002</v>
      </c>
    </row>
    <row r="97" spans="2:35" x14ac:dyDescent="0.2">
      <c r="B97" s="57" t="s">
        <v>184</v>
      </c>
      <c r="C97" s="57"/>
      <c r="D97" s="59" t="s">
        <v>185</v>
      </c>
      <c r="E97" s="60"/>
      <c r="F97" s="77">
        <f>+F98</f>
        <v>54455.389700000014</v>
      </c>
      <c r="G97" s="78">
        <f t="shared" ref="G97:Z97" si="48">+G98</f>
        <v>0</v>
      </c>
      <c r="H97" s="78">
        <f t="shared" si="48"/>
        <v>0</v>
      </c>
      <c r="I97" s="78">
        <f t="shared" si="48"/>
        <v>8091.6697000000004</v>
      </c>
      <c r="J97" s="78">
        <f t="shared" si="48"/>
        <v>4542.3</v>
      </c>
      <c r="K97" s="78">
        <f t="shared" si="48"/>
        <v>11726.550000000001</v>
      </c>
      <c r="L97" s="78">
        <f t="shared" si="48"/>
        <v>5026.4000000000005</v>
      </c>
      <c r="M97" s="78">
        <f t="shared" si="48"/>
        <v>8356.1566666666677</v>
      </c>
      <c r="N97" s="78">
        <f t="shared" si="48"/>
        <v>8356.1566666666677</v>
      </c>
      <c r="O97" s="78">
        <f t="shared" si="48"/>
        <v>8356.1566666666677</v>
      </c>
      <c r="P97" s="78">
        <f t="shared" si="48"/>
        <v>0</v>
      </c>
      <c r="Q97" s="78">
        <f t="shared" si="48"/>
        <v>0</v>
      </c>
      <c r="R97" s="78">
        <f t="shared" si="48"/>
        <v>0</v>
      </c>
      <c r="S97" s="29"/>
      <c r="Z97" s="48">
        <f t="shared" si="48"/>
        <v>54455.39</v>
      </c>
      <c r="AA97" s="45">
        <f t="shared" si="42"/>
        <v>2.9999998514540493E-4</v>
      </c>
      <c r="AI97" s="45"/>
    </row>
    <row r="98" spans="2:35" x14ac:dyDescent="0.2">
      <c r="B98" s="69" t="s">
        <v>186</v>
      </c>
      <c r="C98" s="86" t="s">
        <v>176</v>
      </c>
      <c r="D98" s="70" t="s">
        <v>187</v>
      </c>
      <c r="E98" s="60"/>
      <c r="F98" s="73">
        <f>SUM(G98:R98)</f>
        <v>54455.389700000014</v>
      </c>
      <c r="G98" s="74">
        <v>0</v>
      </c>
      <c r="H98" s="74">
        <v>0</v>
      </c>
      <c r="I98" s="74">
        <f>7855.99*1.03</f>
        <v>8091.6697000000004</v>
      </c>
      <c r="J98" s="74">
        <f>4410*1.03</f>
        <v>4542.3</v>
      </c>
      <c r="K98" s="74">
        <f>11385*1.03</f>
        <v>11726.550000000001</v>
      </c>
      <c r="L98" s="74">
        <f>4880*1.03</f>
        <v>5026.4000000000005</v>
      </c>
      <c r="M98" s="74">
        <f t="shared" ref="M98:N98" si="49">25068.47/3</f>
        <v>8356.1566666666677</v>
      </c>
      <c r="N98" s="74">
        <f t="shared" si="49"/>
        <v>8356.1566666666677</v>
      </c>
      <c r="O98" s="74">
        <f>25068.47/3</f>
        <v>8356.1566666666677</v>
      </c>
      <c r="P98" s="74">
        <v>0</v>
      </c>
      <c r="Q98" s="74">
        <v>0</v>
      </c>
      <c r="R98" s="74">
        <v>0</v>
      </c>
      <c r="S98" s="29"/>
      <c r="Z98" s="72">
        <v>54455.39</v>
      </c>
      <c r="AA98" s="45">
        <f t="shared" si="42"/>
        <v>2.9999998514540493E-4</v>
      </c>
      <c r="AI98" s="45">
        <f>+F98</f>
        <v>54455.389700000014</v>
      </c>
    </row>
    <row r="99" spans="2:35" x14ac:dyDescent="0.2">
      <c r="B99" s="57" t="s">
        <v>188</v>
      </c>
      <c r="C99" s="57"/>
      <c r="D99" s="59" t="s">
        <v>189</v>
      </c>
      <c r="E99" s="60"/>
      <c r="F99" s="77">
        <f t="shared" ref="F99:R99" si="50">SUM(F100:F114)</f>
        <v>652575.65700000001</v>
      </c>
      <c r="G99" s="78">
        <f t="shared" si="50"/>
        <v>328474.75950000004</v>
      </c>
      <c r="H99" s="78">
        <f t="shared" si="50"/>
        <v>53391.286000000007</v>
      </c>
      <c r="I99" s="78">
        <f t="shared" si="50"/>
        <v>51537.549500000008</v>
      </c>
      <c r="J99" s="78">
        <f t="shared" si="50"/>
        <v>49976.552800000005</v>
      </c>
      <c r="K99" s="78">
        <f t="shared" si="50"/>
        <v>43305.956000000006</v>
      </c>
      <c r="L99" s="78">
        <f t="shared" si="50"/>
        <v>17391.855600000003</v>
      </c>
      <c r="M99" s="78">
        <f t="shared" si="50"/>
        <v>15105.859199999999</v>
      </c>
      <c r="N99" s="78">
        <f t="shared" si="50"/>
        <v>15105.859199999999</v>
      </c>
      <c r="O99" s="78">
        <f t="shared" si="50"/>
        <v>22507.349199999997</v>
      </c>
      <c r="P99" s="78">
        <f t="shared" si="50"/>
        <v>14505.005600000002</v>
      </c>
      <c r="Q99" s="78">
        <f t="shared" si="50"/>
        <v>19890.2274</v>
      </c>
      <c r="R99" s="78">
        <f t="shared" si="50"/>
        <v>21383.397000000001</v>
      </c>
      <c r="S99" s="29"/>
      <c r="Z99" s="48">
        <f>SUM(Z100:Z114)</f>
        <v>652575.65999999992</v>
      </c>
      <c r="AA99" s="45">
        <f t="shared" si="42"/>
        <v>2.9999999096617103E-3</v>
      </c>
      <c r="AI99" s="45"/>
    </row>
    <row r="100" spans="2:35" x14ac:dyDescent="0.2">
      <c r="B100" s="69" t="s">
        <v>190</v>
      </c>
      <c r="C100" s="69" t="s">
        <v>191</v>
      </c>
      <c r="D100" s="70" t="s">
        <v>192</v>
      </c>
      <c r="E100" s="60"/>
      <c r="F100" s="73">
        <f t="shared" ref="F100:F114" si="51">SUM(G100:R100)</f>
        <v>367571.09699999995</v>
      </c>
      <c r="G100" s="74">
        <f>223135.39*1.05</f>
        <v>234292.15950000004</v>
      </c>
      <c r="H100" s="74">
        <f>35152.32*1.05</f>
        <v>36909.936000000002</v>
      </c>
      <c r="I100" s="74">
        <f>17209.99*1.05</f>
        <v>18070.489500000003</v>
      </c>
      <c r="J100" s="74">
        <f>8997.32*1.04</f>
        <v>9357.2127999999993</v>
      </c>
      <c r="K100" s="74">
        <f>10854.9*1.04</f>
        <v>11289.096</v>
      </c>
      <c r="L100" s="74">
        <f>7532.64*1.04</f>
        <v>7833.9456000000009</v>
      </c>
      <c r="M100" s="74">
        <f>16948.44*1.04/3</f>
        <v>5875.4592000000002</v>
      </c>
      <c r="N100" s="74">
        <f t="shared" ref="N100:O100" si="52">16948.44*1.04/3</f>
        <v>5875.4592000000002</v>
      </c>
      <c r="O100" s="74">
        <f t="shared" si="52"/>
        <v>5875.4592000000002</v>
      </c>
      <c r="P100" s="74">
        <f>7532.64*1.04</f>
        <v>7833.9456000000009</v>
      </c>
      <c r="Q100" s="74">
        <f>11065.58*1.03</f>
        <v>11397.547399999999</v>
      </c>
      <c r="R100" s="74">
        <f>12582.9*1.03</f>
        <v>12960.387000000001</v>
      </c>
      <c r="S100" s="29"/>
      <c r="Z100" s="72">
        <v>367571.1</v>
      </c>
      <c r="AA100" s="45">
        <f t="shared" si="42"/>
        <v>3.0000000260770321E-3</v>
      </c>
      <c r="AI100" s="45">
        <f t="shared" ref="AI100:AI115" si="53">+F100</f>
        <v>367571.09699999995</v>
      </c>
    </row>
    <row r="101" spans="2:35" x14ac:dyDescent="0.2">
      <c r="B101" s="69" t="s">
        <v>193</v>
      </c>
      <c r="C101" s="69" t="s">
        <v>27</v>
      </c>
      <c r="D101" s="70" t="s">
        <v>194</v>
      </c>
      <c r="E101" s="60"/>
      <c r="F101" s="73">
        <f t="shared" si="51"/>
        <v>-86781.779999999984</v>
      </c>
      <c r="G101" s="74">
        <v>-70287.649999999994</v>
      </c>
      <c r="H101" s="74">
        <v>-11072.98</v>
      </c>
      <c r="I101" s="74">
        <v>-5421.15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  <c r="S101" s="29"/>
      <c r="Z101" s="72">
        <v>-86781.78</v>
      </c>
      <c r="AA101" s="45">
        <f t="shared" si="42"/>
        <v>0</v>
      </c>
      <c r="AI101" s="45">
        <f t="shared" si="53"/>
        <v>-86781.779999999984</v>
      </c>
    </row>
    <row r="102" spans="2:35" x14ac:dyDescent="0.2">
      <c r="B102" s="69" t="s">
        <v>195</v>
      </c>
      <c r="C102" s="69" t="s">
        <v>100</v>
      </c>
      <c r="D102" s="70" t="s">
        <v>196</v>
      </c>
      <c r="E102" s="60"/>
      <c r="F102" s="73">
        <f t="shared" si="51"/>
        <v>15711.099999999999</v>
      </c>
      <c r="G102" s="74">
        <v>12336.96</v>
      </c>
      <c r="H102" s="74">
        <v>0</v>
      </c>
      <c r="I102" s="74">
        <v>231.82</v>
      </c>
      <c r="J102" s="74">
        <v>0</v>
      </c>
      <c r="K102" s="74">
        <v>917.95</v>
      </c>
      <c r="L102" s="74">
        <v>444.96</v>
      </c>
      <c r="M102" s="74">
        <v>231.82</v>
      </c>
      <c r="N102" s="74">
        <v>231.82</v>
      </c>
      <c r="O102" s="74">
        <v>231.82</v>
      </c>
      <c r="P102" s="74">
        <v>174.83</v>
      </c>
      <c r="Q102" s="74">
        <v>227.28</v>
      </c>
      <c r="R102" s="74">
        <v>681.84</v>
      </c>
      <c r="S102" s="29"/>
      <c r="Z102" s="75">
        <v>15711.1</v>
      </c>
      <c r="AA102" s="45">
        <f t="shared" si="42"/>
        <v>0</v>
      </c>
      <c r="AI102" s="45">
        <f t="shared" si="53"/>
        <v>15711.099999999999</v>
      </c>
    </row>
    <row r="103" spans="2:35" x14ac:dyDescent="0.2">
      <c r="B103" s="86" t="s">
        <v>197</v>
      </c>
      <c r="C103" s="69" t="s">
        <v>100</v>
      </c>
      <c r="D103" s="70" t="s">
        <v>198</v>
      </c>
      <c r="E103" s="60"/>
      <c r="F103" s="73">
        <f t="shared" si="51"/>
        <v>218.51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218.51</v>
      </c>
      <c r="P103" s="74">
        <v>0</v>
      </c>
      <c r="Q103" s="74">
        <v>0</v>
      </c>
      <c r="R103" s="74">
        <v>0</v>
      </c>
      <c r="S103" s="29"/>
      <c r="Z103" s="72">
        <v>218.51</v>
      </c>
      <c r="AA103" s="45">
        <f t="shared" si="42"/>
        <v>0</v>
      </c>
      <c r="AI103" s="45">
        <f t="shared" si="53"/>
        <v>218.51</v>
      </c>
    </row>
    <row r="104" spans="2:35" x14ac:dyDescent="0.2">
      <c r="B104" s="69" t="s">
        <v>199</v>
      </c>
      <c r="C104" s="69" t="s">
        <v>100</v>
      </c>
      <c r="D104" s="70" t="s">
        <v>200</v>
      </c>
      <c r="E104" s="60"/>
      <c r="F104" s="73">
        <f t="shared" si="51"/>
        <v>6061.94</v>
      </c>
      <c r="G104" s="74">
        <v>0</v>
      </c>
      <c r="H104" s="74">
        <v>222.48</v>
      </c>
      <c r="I104" s="74">
        <v>222.48</v>
      </c>
      <c r="J104" s="74">
        <v>1112.4000000000001</v>
      </c>
      <c r="K104" s="74">
        <v>2446.64</v>
      </c>
      <c r="L104" s="74">
        <v>278.10000000000002</v>
      </c>
      <c r="M104" s="74">
        <v>593.28</v>
      </c>
      <c r="N104" s="74">
        <v>593.28</v>
      </c>
      <c r="O104" s="74">
        <v>593.28</v>
      </c>
      <c r="P104" s="74">
        <v>0</v>
      </c>
      <c r="Q104" s="74">
        <v>0</v>
      </c>
      <c r="R104" s="74">
        <v>0</v>
      </c>
      <c r="S104" s="29"/>
      <c r="Z104" s="72">
        <v>6061.94</v>
      </c>
      <c r="AA104" s="45">
        <f t="shared" si="42"/>
        <v>0</v>
      </c>
      <c r="AI104" s="45">
        <f t="shared" si="53"/>
        <v>6061.94</v>
      </c>
    </row>
    <row r="105" spans="2:35" x14ac:dyDescent="0.2">
      <c r="B105" s="69" t="s">
        <v>201</v>
      </c>
      <c r="C105" s="69" t="s">
        <v>100</v>
      </c>
      <c r="D105" s="70" t="s">
        <v>202</v>
      </c>
      <c r="E105" s="60"/>
      <c r="F105" s="73">
        <f t="shared" si="51"/>
        <v>278.10000000000002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278.10000000000002</v>
      </c>
      <c r="P105" s="74">
        <v>0</v>
      </c>
      <c r="Q105" s="74">
        <v>0</v>
      </c>
      <c r="R105" s="74">
        <v>0</v>
      </c>
      <c r="S105" s="29"/>
      <c r="Z105" s="72">
        <v>278.10000000000002</v>
      </c>
      <c r="AA105" s="45">
        <f t="shared" si="42"/>
        <v>0</v>
      </c>
      <c r="AI105" s="45">
        <f t="shared" si="53"/>
        <v>278.10000000000002</v>
      </c>
    </row>
    <row r="106" spans="2:35" x14ac:dyDescent="0.2">
      <c r="B106" s="69" t="s">
        <v>203</v>
      </c>
      <c r="C106" s="69" t="s">
        <v>100</v>
      </c>
      <c r="D106" s="70" t="s">
        <v>204</v>
      </c>
      <c r="E106" s="60"/>
      <c r="F106" s="73">
        <f t="shared" si="51"/>
        <v>4943.95</v>
      </c>
      <c r="G106" s="74">
        <v>1669.84</v>
      </c>
      <c r="H106" s="74">
        <v>323.39999999999998</v>
      </c>
      <c r="I106" s="74">
        <v>431.2</v>
      </c>
      <c r="J106" s="74">
        <v>161.69999999999999</v>
      </c>
      <c r="K106" s="74">
        <v>485.1</v>
      </c>
      <c r="L106" s="74">
        <v>215.6</v>
      </c>
      <c r="M106" s="74">
        <v>323.39999999999998</v>
      </c>
      <c r="N106" s="74">
        <v>323.39999999999998</v>
      </c>
      <c r="O106" s="74">
        <v>323.39999999999998</v>
      </c>
      <c r="P106" s="74">
        <v>52.84</v>
      </c>
      <c r="Q106" s="74">
        <v>475.55</v>
      </c>
      <c r="R106" s="74">
        <v>158.52000000000001</v>
      </c>
      <c r="S106" s="29"/>
      <c r="Z106" s="75">
        <v>4943.95</v>
      </c>
      <c r="AA106" s="45">
        <f t="shared" si="42"/>
        <v>0</v>
      </c>
      <c r="AI106" s="45">
        <f t="shared" si="53"/>
        <v>4943.95</v>
      </c>
    </row>
    <row r="107" spans="2:35" x14ac:dyDescent="0.2">
      <c r="B107" s="69" t="s">
        <v>205</v>
      </c>
      <c r="C107" s="69" t="s">
        <v>100</v>
      </c>
      <c r="D107" s="70" t="s">
        <v>206</v>
      </c>
      <c r="E107" s="60"/>
      <c r="F107" s="73">
        <f t="shared" si="51"/>
        <v>44261.05</v>
      </c>
      <c r="G107" s="74">
        <v>0</v>
      </c>
      <c r="H107" s="74">
        <v>5399.29</v>
      </c>
      <c r="I107" s="74">
        <v>13488.43</v>
      </c>
      <c r="J107" s="74">
        <v>9809.61</v>
      </c>
      <c r="K107" s="74">
        <v>5803.7</v>
      </c>
      <c r="L107" s="74">
        <v>537.35</v>
      </c>
      <c r="M107" s="74">
        <v>0</v>
      </c>
      <c r="N107" s="74">
        <v>0</v>
      </c>
      <c r="O107" s="74">
        <v>4516.08</v>
      </c>
      <c r="P107" s="74">
        <v>0</v>
      </c>
      <c r="Q107" s="74">
        <v>2283.0500000000002</v>
      </c>
      <c r="R107" s="74">
        <v>2423.54</v>
      </c>
      <c r="S107" s="29"/>
      <c r="Z107" s="72">
        <v>44261.05</v>
      </c>
      <c r="AA107" s="45">
        <f t="shared" si="42"/>
        <v>0</v>
      </c>
      <c r="AI107" s="45">
        <f t="shared" si="53"/>
        <v>44261.05</v>
      </c>
    </row>
    <row r="108" spans="2:35" x14ac:dyDescent="0.2">
      <c r="B108" s="69" t="s">
        <v>207</v>
      </c>
      <c r="C108" s="69" t="s">
        <v>100</v>
      </c>
      <c r="D108" s="70" t="s">
        <v>208</v>
      </c>
      <c r="E108" s="60"/>
      <c r="F108" s="73">
        <f t="shared" si="51"/>
        <v>2112.5300000000002</v>
      </c>
      <c r="G108" s="74">
        <v>0</v>
      </c>
      <c r="H108" s="74">
        <v>0</v>
      </c>
      <c r="I108" s="74">
        <v>0</v>
      </c>
      <c r="J108" s="74">
        <v>0</v>
      </c>
      <c r="K108" s="74">
        <v>905.37</v>
      </c>
      <c r="L108" s="74">
        <v>0</v>
      </c>
      <c r="M108" s="74">
        <v>0</v>
      </c>
      <c r="N108" s="74">
        <v>0</v>
      </c>
      <c r="O108" s="74">
        <v>1207.1600000000001</v>
      </c>
      <c r="P108" s="74">
        <v>0</v>
      </c>
      <c r="Q108" s="74">
        <v>0</v>
      </c>
      <c r="R108" s="74">
        <v>0</v>
      </c>
      <c r="S108" s="29"/>
      <c r="Z108" s="72">
        <v>2112.5300000000002</v>
      </c>
      <c r="AA108" s="45">
        <f t="shared" si="42"/>
        <v>0</v>
      </c>
      <c r="AI108" s="45">
        <f t="shared" si="53"/>
        <v>2112.5300000000002</v>
      </c>
    </row>
    <row r="109" spans="2:35" x14ac:dyDescent="0.2">
      <c r="B109" s="69" t="s">
        <v>209</v>
      </c>
      <c r="C109" s="69" t="s">
        <v>100</v>
      </c>
      <c r="D109" s="70" t="s">
        <v>210</v>
      </c>
      <c r="E109" s="60"/>
      <c r="F109" s="73">
        <f t="shared" si="51"/>
        <v>1413.18</v>
      </c>
      <c r="G109" s="74">
        <v>0</v>
      </c>
      <c r="H109" s="74">
        <v>0</v>
      </c>
      <c r="I109" s="74">
        <v>322.47000000000003</v>
      </c>
      <c r="J109" s="74">
        <v>386.93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282.27999999999997</v>
      </c>
      <c r="Q109" s="74">
        <v>421.5</v>
      </c>
      <c r="R109" s="74">
        <v>0</v>
      </c>
      <c r="S109" s="29"/>
      <c r="Z109" s="72">
        <v>1413.18</v>
      </c>
      <c r="AA109" s="45">
        <f t="shared" si="42"/>
        <v>0</v>
      </c>
      <c r="AI109" s="45">
        <f t="shared" si="53"/>
        <v>1413.18</v>
      </c>
    </row>
    <row r="110" spans="2:35" x14ac:dyDescent="0.2">
      <c r="B110" s="69" t="s">
        <v>211</v>
      </c>
      <c r="C110" s="69" t="s">
        <v>100</v>
      </c>
      <c r="D110" s="70" t="s">
        <v>212</v>
      </c>
      <c r="E110" s="60"/>
      <c r="F110" s="73">
        <f t="shared" si="51"/>
        <v>53.74</v>
      </c>
      <c r="G110" s="74">
        <v>0</v>
      </c>
      <c r="H110" s="74">
        <v>0</v>
      </c>
      <c r="I110" s="74">
        <v>0</v>
      </c>
      <c r="J110" s="74">
        <v>0</v>
      </c>
      <c r="K110" s="74">
        <v>53.74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29"/>
      <c r="Z110" s="72">
        <v>53.74</v>
      </c>
      <c r="AA110" s="45">
        <f t="shared" si="42"/>
        <v>0</v>
      </c>
      <c r="AI110" s="45">
        <f t="shared" si="53"/>
        <v>53.74</v>
      </c>
    </row>
    <row r="111" spans="2:35" x14ac:dyDescent="0.2">
      <c r="B111" s="69" t="s">
        <v>213</v>
      </c>
      <c r="C111" s="69" t="s">
        <v>100</v>
      </c>
      <c r="D111" s="70" t="s">
        <v>214</v>
      </c>
      <c r="E111" s="60"/>
      <c r="F111" s="73">
        <f t="shared" si="51"/>
        <v>4007.57</v>
      </c>
      <c r="G111" s="74">
        <v>2364.56</v>
      </c>
      <c r="H111" s="74">
        <v>214.96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1181.6400000000001</v>
      </c>
      <c r="P111" s="74">
        <v>161.11000000000001</v>
      </c>
      <c r="Q111" s="74">
        <v>85.3</v>
      </c>
      <c r="R111" s="74">
        <v>0</v>
      </c>
      <c r="S111" s="29"/>
      <c r="Z111" s="72">
        <v>4007.57</v>
      </c>
      <c r="AA111" s="45">
        <f t="shared" si="42"/>
        <v>0</v>
      </c>
      <c r="AI111" s="45">
        <f t="shared" si="53"/>
        <v>4007.57</v>
      </c>
    </row>
    <row r="112" spans="2:35" x14ac:dyDescent="0.2">
      <c r="B112" s="69" t="s">
        <v>215</v>
      </c>
      <c r="C112" s="69" t="s">
        <v>100</v>
      </c>
      <c r="D112" s="70" t="s">
        <v>216</v>
      </c>
      <c r="E112" s="60"/>
      <c r="F112" s="73">
        <f t="shared" si="51"/>
        <v>1145.74</v>
      </c>
      <c r="G112" s="74">
        <v>0</v>
      </c>
      <c r="H112" s="74">
        <v>0</v>
      </c>
      <c r="I112" s="74">
        <v>0</v>
      </c>
      <c r="J112" s="74">
        <v>0</v>
      </c>
      <c r="K112" s="74">
        <v>1145.74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29"/>
      <c r="Z112" s="72">
        <v>1145.74</v>
      </c>
      <c r="AA112" s="45">
        <f t="shared" si="42"/>
        <v>0</v>
      </c>
      <c r="AI112" s="45">
        <f t="shared" si="53"/>
        <v>1145.74</v>
      </c>
    </row>
    <row r="113" spans="2:35" x14ac:dyDescent="0.2">
      <c r="B113" s="69" t="s">
        <v>217</v>
      </c>
      <c r="C113" s="69" t="s">
        <v>100</v>
      </c>
      <c r="D113" s="70" t="s">
        <v>218</v>
      </c>
      <c r="E113" s="60"/>
      <c r="F113" s="73">
        <f t="shared" si="51"/>
        <v>1159.1099999999999</v>
      </c>
      <c r="G113" s="74">
        <v>0</v>
      </c>
      <c r="H113" s="74">
        <v>0</v>
      </c>
      <c r="I113" s="74">
        <v>0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4">
        <v>0</v>
      </c>
      <c r="R113" s="74">
        <v>1159.1099999999999</v>
      </c>
      <c r="S113" s="29"/>
      <c r="Z113" s="72">
        <v>1159.1099999999999</v>
      </c>
      <c r="AA113" s="45">
        <f t="shared" si="42"/>
        <v>0</v>
      </c>
      <c r="AI113" s="45">
        <f t="shared" si="53"/>
        <v>1159.1099999999999</v>
      </c>
    </row>
    <row r="114" spans="2:35" x14ac:dyDescent="0.2">
      <c r="B114" s="69" t="s">
        <v>219</v>
      </c>
      <c r="C114" s="69" t="s">
        <v>100</v>
      </c>
      <c r="D114" s="70" t="s">
        <v>101</v>
      </c>
      <c r="E114" s="60"/>
      <c r="F114" s="73">
        <f t="shared" si="51"/>
        <v>290419.82000000007</v>
      </c>
      <c r="G114" s="74">
        <v>148098.89000000001</v>
      </c>
      <c r="H114" s="74">
        <v>21394.2</v>
      </c>
      <c r="I114" s="74">
        <v>24191.81</v>
      </c>
      <c r="J114" s="74">
        <v>29148.7</v>
      </c>
      <c r="K114" s="74">
        <v>20258.62</v>
      </c>
      <c r="L114" s="74">
        <v>8081.9</v>
      </c>
      <c r="M114" s="74">
        <v>8081.9</v>
      </c>
      <c r="N114" s="74">
        <v>8081.9</v>
      </c>
      <c r="O114" s="74">
        <v>8081.9</v>
      </c>
      <c r="P114" s="74">
        <v>6000</v>
      </c>
      <c r="Q114" s="74">
        <v>5000</v>
      </c>
      <c r="R114" s="74">
        <v>4000</v>
      </c>
      <c r="S114" s="29"/>
      <c r="Z114" s="72">
        <v>290419.82</v>
      </c>
      <c r="AA114" s="45">
        <f t="shared" si="42"/>
        <v>0</v>
      </c>
      <c r="AG114" s="45">
        <v>301033.19</v>
      </c>
      <c r="AH114" s="51">
        <f>+AG114-F114</f>
        <v>10613.369999999937</v>
      </c>
      <c r="AI114" s="45">
        <f t="shared" si="53"/>
        <v>290419.82000000007</v>
      </c>
    </row>
    <row r="115" spans="2:35" x14ac:dyDescent="0.2">
      <c r="B115" s="57" t="s">
        <v>220</v>
      </c>
      <c r="C115" s="57" t="s">
        <v>100</v>
      </c>
      <c r="D115" s="59" t="s">
        <v>221</v>
      </c>
      <c r="E115" s="90"/>
      <c r="F115" s="77">
        <f>+F116</f>
        <v>1485072</v>
      </c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29"/>
      <c r="Z115" s="72"/>
      <c r="AA115" s="45"/>
      <c r="AG115" s="45"/>
      <c r="AI115" s="45">
        <f t="shared" si="53"/>
        <v>1485072</v>
      </c>
    </row>
    <row r="116" spans="2:35" x14ac:dyDescent="0.2">
      <c r="B116" s="69" t="s">
        <v>222</v>
      </c>
      <c r="C116" s="69" t="s">
        <v>100</v>
      </c>
      <c r="D116" s="70" t="s">
        <v>223</v>
      </c>
      <c r="E116" s="60"/>
      <c r="F116" s="73">
        <v>1485072</v>
      </c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29"/>
      <c r="Z116" s="72"/>
      <c r="AA116" s="45"/>
      <c r="AG116" s="45"/>
      <c r="AI116" s="45"/>
    </row>
    <row r="117" spans="2:35" x14ac:dyDescent="0.2">
      <c r="B117" s="57" t="s">
        <v>224</v>
      </c>
      <c r="C117" s="57"/>
      <c r="D117" s="59" t="s">
        <v>225</v>
      </c>
      <c r="E117" s="60"/>
      <c r="F117" s="77">
        <f t="shared" ref="F117:R117" si="54">SUM(F118:F119)</f>
        <v>110091.5696</v>
      </c>
      <c r="G117" s="78">
        <f t="shared" si="54"/>
        <v>14191.669599999999</v>
      </c>
      <c r="H117" s="78">
        <f t="shared" si="54"/>
        <v>4724.5600000000004</v>
      </c>
      <c r="I117" s="78">
        <f t="shared" si="54"/>
        <v>7742.92</v>
      </c>
      <c r="J117" s="78">
        <f t="shared" si="54"/>
        <v>11494.52</v>
      </c>
      <c r="K117" s="78">
        <f t="shared" si="54"/>
        <v>4755.8900000000003</v>
      </c>
      <c r="L117" s="78">
        <f t="shared" si="54"/>
        <v>5490.31</v>
      </c>
      <c r="M117" s="78">
        <f t="shared" si="54"/>
        <v>6736.86</v>
      </c>
      <c r="N117" s="78">
        <f t="shared" si="54"/>
        <v>6736.86</v>
      </c>
      <c r="O117" s="78">
        <f t="shared" si="54"/>
        <v>6953.92</v>
      </c>
      <c r="P117" s="78">
        <f t="shared" si="54"/>
        <v>17434.310000000001</v>
      </c>
      <c r="Q117" s="78">
        <f t="shared" si="54"/>
        <v>5741.37</v>
      </c>
      <c r="R117" s="78">
        <f t="shared" si="54"/>
        <v>18088.38</v>
      </c>
      <c r="S117" s="29"/>
      <c r="Z117" s="48">
        <f>SUM(Z118:Z119)</f>
        <v>110091.57</v>
      </c>
      <c r="AA117" s="45">
        <f t="shared" si="42"/>
        <v>4.0000000444706529E-4</v>
      </c>
      <c r="AI117" s="45"/>
    </row>
    <row r="118" spans="2:35" x14ac:dyDescent="0.2">
      <c r="B118" s="69" t="s">
        <v>226</v>
      </c>
      <c r="C118" s="69" t="s">
        <v>27</v>
      </c>
      <c r="D118" s="70" t="s">
        <v>227</v>
      </c>
      <c r="E118" s="60"/>
      <c r="F118" s="73">
        <f>SUM(G118:R118)</f>
        <v>28869.6296</v>
      </c>
      <c r="G118" s="74">
        <f>13778.32*1.03</f>
        <v>14191.669599999999</v>
      </c>
      <c r="H118" s="74">
        <v>4724.5600000000004</v>
      </c>
      <c r="I118" s="74">
        <v>2619.81</v>
      </c>
      <c r="J118" s="74">
        <v>6471.12</v>
      </c>
      <c r="K118" s="74">
        <v>0</v>
      </c>
      <c r="L118" s="74">
        <v>0</v>
      </c>
      <c r="M118" s="74">
        <v>0</v>
      </c>
      <c r="N118" s="74">
        <v>0</v>
      </c>
      <c r="O118" s="74">
        <v>217.06</v>
      </c>
      <c r="P118" s="74">
        <v>0</v>
      </c>
      <c r="Q118" s="74">
        <v>210.75</v>
      </c>
      <c r="R118" s="74">
        <v>434.66</v>
      </c>
      <c r="S118" s="29"/>
      <c r="Z118" s="75">
        <v>28869.63</v>
      </c>
      <c r="AA118" s="45">
        <f t="shared" si="42"/>
        <v>4.0000000080908649E-4</v>
      </c>
      <c r="AI118" s="45">
        <f>+F118</f>
        <v>28869.6296</v>
      </c>
    </row>
    <row r="119" spans="2:35" x14ac:dyDescent="0.2">
      <c r="B119" s="69" t="s">
        <v>228</v>
      </c>
      <c r="C119" s="69" t="s">
        <v>27</v>
      </c>
      <c r="D119" s="70" t="s">
        <v>229</v>
      </c>
      <c r="E119" s="60"/>
      <c r="F119" s="73">
        <f>SUM(G119:R119)</f>
        <v>81221.94</v>
      </c>
      <c r="G119" s="74">
        <v>0</v>
      </c>
      <c r="H119" s="74">
        <v>0</v>
      </c>
      <c r="I119" s="74">
        <v>5123.1099999999997</v>
      </c>
      <c r="J119" s="74">
        <v>5023.3999999999996</v>
      </c>
      <c r="K119" s="74">
        <v>4755.8900000000003</v>
      </c>
      <c r="L119" s="74">
        <v>5490.31</v>
      </c>
      <c r="M119" s="74">
        <v>6736.86</v>
      </c>
      <c r="N119" s="74">
        <v>6736.86</v>
      </c>
      <c r="O119" s="74">
        <v>6736.86</v>
      </c>
      <c r="P119" s="74">
        <v>17434.310000000001</v>
      </c>
      <c r="Q119" s="74">
        <v>5530.62</v>
      </c>
      <c r="R119" s="74">
        <v>17653.72</v>
      </c>
      <c r="S119" s="29"/>
      <c r="Z119" s="75">
        <v>81221.94</v>
      </c>
      <c r="AA119" s="45">
        <f t="shared" si="42"/>
        <v>0</v>
      </c>
      <c r="AI119" s="45">
        <f>+F119</f>
        <v>81221.94</v>
      </c>
    </row>
    <row r="120" spans="2:35" x14ac:dyDescent="0.2">
      <c r="B120" s="57" t="s">
        <v>230</v>
      </c>
      <c r="C120" s="57"/>
      <c r="D120" s="59" t="s">
        <v>231</v>
      </c>
      <c r="E120" s="60"/>
      <c r="F120" s="77">
        <f>SUM(F121:F123)</f>
        <v>46415.847900000001</v>
      </c>
      <c r="G120" s="78">
        <f t="shared" ref="G120:R120" si="55">SUM(G121:G123)</f>
        <v>0</v>
      </c>
      <c r="H120" s="78">
        <f t="shared" si="55"/>
        <v>0</v>
      </c>
      <c r="I120" s="78">
        <f t="shared" si="55"/>
        <v>3714.7156000000004</v>
      </c>
      <c r="J120" s="78">
        <f t="shared" si="55"/>
        <v>3959.6804999999999</v>
      </c>
      <c r="K120" s="78">
        <f t="shared" si="55"/>
        <v>25517.1479</v>
      </c>
      <c r="L120" s="78">
        <f t="shared" si="55"/>
        <v>10559.7248</v>
      </c>
      <c r="M120" s="78">
        <f t="shared" si="55"/>
        <v>0</v>
      </c>
      <c r="N120" s="78">
        <f t="shared" si="55"/>
        <v>0</v>
      </c>
      <c r="O120" s="78">
        <f t="shared" si="55"/>
        <v>2664.5790999999999</v>
      </c>
      <c r="P120" s="78">
        <f t="shared" si="55"/>
        <v>0</v>
      </c>
      <c r="Q120" s="78">
        <f t="shared" si="55"/>
        <v>0</v>
      </c>
      <c r="R120" s="78">
        <f t="shared" si="55"/>
        <v>0</v>
      </c>
      <c r="S120" s="29"/>
      <c r="Z120" s="48">
        <f t="shared" ref="Z120" si="56">SUM(Z121:Z123)</f>
        <v>46415.85</v>
      </c>
      <c r="AA120" s="45">
        <f t="shared" si="42"/>
        <v>2.0999999978812411E-3</v>
      </c>
      <c r="AI120" s="45"/>
    </row>
    <row r="121" spans="2:35" x14ac:dyDescent="0.2">
      <c r="B121" s="69" t="s">
        <v>232</v>
      </c>
      <c r="C121" s="69" t="s">
        <v>233</v>
      </c>
      <c r="D121" s="70" t="s">
        <v>234</v>
      </c>
      <c r="E121" s="60"/>
      <c r="F121" s="73">
        <f>SUM(G121:R121)</f>
        <v>3025.0585000000001</v>
      </c>
      <c r="G121" s="74">
        <v>0</v>
      </c>
      <c r="H121" s="74">
        <v>0</v>
      </c>
      <c r="I121" s="74">
        <f>2815.21*1.03</f>
        <v>2899.6663000000003</v>
      </c>
      <c r="J121" s="74">
        <v>0</v>
      </c>
      <c r="K121" s="74">
        <v>0</v>
      </c>
      <c r="L121" s="74">
        <f>121.74*1.03</f>
        <v>125.3922</v>
      </c>
      <c r="M121" s="74">
        <v>0</v>
      </c>
      <c r="N121" s="74">
        <v>0</v>
      </c>
      <c r="O121" s="74">
        <v>0</v>
      </c>
      <c r="P121" s="74">
        <v>0</v>
      </c>
      <c r="Q121" s="74">
        <v>0</v>
      </c>
      <c r="R121" s="74">
        <v>0</v>
      </c>
      <c r="S121" s="29"/>
      <c r="Z121" s="72">
        <v>3025.06</v>
      </c>
      <c r="AA121" s="45">
        <f t="shared" si="42"/>
        <v>1.4999999998508429E-3</v>
      </c>
      <c r="AI121" s="45">
        <f>+F121</f>
        <v>3025.0585000000001</v>
      </c>
    </row>
    <row r="122" spans="2:35" x14ac:dyDescent="0.2">
      <c r="B122" s="69" t="s">
        <v>235</v>
      </c>
      <c r="C122" s="69" t="s">
        <v>233</v>
      </c>
      <c r="D122" s="70" t="s">
        <v>236</v>
      </c>
      <c r="E122" s="60"/>
      <c r="F122" s="73">
        <f>SUM(G122:R122)</f>
        <v>42032.981599999999</v>
      </c>
      <c r="G122" s="74">
        <v>0</v>
      </c>
      <c r="H122" s="74">
        <v>0</v>
      </c>
      <c r="I122" s="74">
        <f>791.31*1.03</f>
        <v>815.04930000000002</v>
      </c>
      <c r="J122" s="74">
        <f>3286.96*1.03</f>
        <v>3385.5688</v>
      </c>
      <c r="K122" s="74">
        <f>24773.93*1.03</f>
        <v>25517.1479</v>
      </c>
      <c r="L122" s="74">
        <f>10130.42*1.03</f>
        <v>10434.3326</v>
      </c>
      <c r="M122" s="74">
        <v>0</v>
      </c>
      <c r="N122" s="74">
        <v>0</v>
      </c>
      <c r="O122" s="74">
        <f>1826.1*1.03</f>
        <v>1880.883</v>
      </c>
      <c r="P122" s="74">
        <v>0</v>
      </c>
      <c r="Q122" s="74">
        <v>0</v>
      </c>
      <c r="R122" s="74">
        <v>0</v>
      </c>
      <c r="S122" s="29"/>
      <c r="Z122" s="72">
        <v>42032.98</v>
      </c>
      <c r="AA122" s="45">
        <f t="shared" si="42"/>
        <v>-1.5999999959603883E-3</v>
      </c>
      <c r="AI122" s="45">
        <f>+F122</f>
        <v>42032.981599999999</v>
      </c>
    </row>
    <row r="123" spans="2:35" x14ac:dyDescent="0.2">
      <c r="B123" s="69" t="s">
        <v>237</v>
      </c>
      <c r="C123" s="69" t="s">
        <v>233</v>
      </c>
      <c r="D123" s="70" t="s">
        <v>238</v>
      </c>
      <c r="E123" s="60"/>
      <c r="F123" s="73">
        <f>SUM(G123:R123)</f>
        <v>1357.8078</v>
      </c>
      <c r="G123" s="74">
        <v>0</v>
      </c>
      <c r="H123" s="74">
        <v>0</v>
      </c>
      <c r="I123" s="74">
        <v>0</v>
      </c>
      <c r="J123" s="74">
        <f>557.39*1.03</f>
        <v>574.11170000000004</v>
      </c>
      <c r="K123" s="74">
        <v>0</v>
      </c>
      <c r="L123" s="74">
        <v>0</v>
      </c>
      <c r="M123" s="74">
        <v>0</v>
      </c>
      <c r="N123" s="74">
        <v>0</v>
      </c>
      <c r="O123" s="74">
        <f>760.87*1.03</f>
        <v>783.6961</v>
      </c>
      <c r="P123" s="74">
        <v>0</v>
      </c>
      <c r="Q123" s="74">
        <v>0</v>
      </c>
      <c r="R123" s="74">
        <v>0</v>
      </c>
      <c r="S123" s="29"/>
      <c r="Z123" s="72">
        <v>1357.81</v>
      </c>
      <c r="AA123" s="45">
        <f t="shared" si="42"/>
        <v>2.1999999999025022E-3</v>
      </c>
      <c r="AI123" s="45">
        <f>+F123</f>
        <v>1357.8078</v>
      </c>
    </row>
    <row r="124" spans="2:35" x14ac:dyDescent="0.2">
      <c r="B124" s="57" t="s">
        <v>239</v>
      </c>
      <c r="C124" s="57"/>
      <c r="D124" s="59" t="s">
        <v>240</v>
      </c>
      <c r="E124" s="60"/>
      <c r="F124" s="77">
        <f t="shared" ref="F124:R124" si="57">+F125+F133+F143+F160+F164+F181+F195+F204+F225+F227</f>
        <v>5996396.0599999996</v>
      </c>
      <c r="G124" s="78">
        <f t="shared" si="57"/>
        <v>576534.70000000007</v>
      </c>
      <c r="H124" s="78">
        <f t="shared" si="57"/>
        <v>454478.35000000003</v>
      </c>
      <c r="I124" s="78">
        <f t="shared" si="57"/>
        <v>497168.94999999995</v>
      </c>
      <c r="J124" s="78">
        <f t="shared" si="57"/>
        <v>538439.86</v>
      </c>
      <c r="K124" s="78">
        <f t="shared" si="57"/>
        <v>576358.55000000016</v>
      </c>
      <c r="L124" s="78">
        <f t="shared" si="57"/>
        <v>570503.6</v>
      </c>
      <c r="M124" s="78">
        <f t="shared" si="57"/>
        <v>423614.68</v>
      </c>
      <c r="N124" s="78">
        <f t="shared" si="57"/>
        <v>439982.08999999991</v>
      </c>
      <c r="O124" s="78">
        <f t="shared" si="57"/>
        <v>743671.80999999994</v>
      </c>
      <c r="P124" s="78">
        <f t="shared" si="57"/>
        <v>420411.42</v>
      </c>
      <c r="Q124" s="78">
        <f t="shared" si="57"/>
        <v>358256.97999999992</v>
      </c>
      <c r="R124" s="78">
        <f t="shared" si="57"/>
        <v>396975.06999999995</v>
      </c>
      <c r="S124" s="29"/>
      <c r="Z124" s="48">
        <f>+Z125+Z133+Z143+Z160+Z164+Z181+Z195+Z204+Z225+Z227</f>
        <v>5996396.0599999996</v>
      </c>
      <c r="AA124" s="45">
        <f t="shared" si="42"/>
        <v>0</v>
      </c>
      <c r="AI124" s="45"/>
    </row>
    <row r="125" spans="2:35" x14ac:dyDescent="0.2">
      <c r="B125" s="57" t="s">
        <v>241</v>
      </c>
      <c r="C125" s="57"/>
      <c r="D125" s="59" t="s">
        <v>242</v>
      </c>
      <c r="E125" s="60"/>
      <c r="F125" s="77">
        <f>SUM(F126:F132)</f>
        <v>37253.390000000014</v>
      </c>
      <c r="G125" s="78">
        <f>SUM(G126:G132)</f>
        <v>7000</v>
      </c>
      <c r="H125" s="78">
        <f t="shared" ref="H125:R125" si="58">SUM(H126:H132)</f>
        <v>5600</v>
      </c>
      <c r="I125" s="78">
        <f t="shared" si="58"/>
        <v>4900</v>
      </c>
      <c r="J125" s="78">
        <f t="shared" si="58"/>
        <v>3000</v>
      </c>
      <c r="K125" s="78">
        <f t="shared" si="58"/>
        <v>0</v>
      </c>
      <c r="L125" s="78">
        <f t="shared" si="58"/>
        <v>3165.06</v>
      </c>
      <c r="M125" s="78">
        <f t="shared" si="58"/>
        <v>1671.16</v>
      </c>
      <c r="N125" s="78">
        <f t="shared" si="58"/>
        <v>1671.16</v>
      </c>
      <c r="O125" s="78">
        <f t="shared" si="58"/>
        <v>1671.16</v>
      </c>
      <c r="P125" s="78">
        <f t="shared" si="58"/>
        <v>1843.26</v>
      </c>
      <c r="Q125" s="78">
        <f t="shared" si="58"/>
        <v>879.07</v>
      </c>
      <c r="R125" s="78">
        <f t="shared" si="58"/>
        <v>5852.52</v>
      </c>
      <c r="S125" s="29"/>
      <c r="Z125" s="48">
        <f t="shared" ref="Z125" si="59">SUM(Z126:Z132)</f>
        <v>37253.39</v>
      </c>
      <c r="AA125" s="45">
        <f t="shared" si="42"/>
        <v>0</v>
      </c>
      <c r="AI125" s="45"/>
    </row>
    <row r="126" spans="2:35" x14ac:dyDescent="0.2">
      <c r="B126" s="69" t="s">
        <v>243</v>
      </c>
      <c r="C126" s="69" t="s">
        <v>27</v>
      </c>
      <c r="D126" s="70" t="s">
        <v>244</v>
      </c>
      <c r="E126" s="60"/>
      <c r="F126" s="73">
        <f t="shared" ref="F126:F132" si="60">SUM(G126:R126)</f>
        <v>0</v>
      </c>
      <c r="G126" s="74">
        <v>0</v>
      </c>
      <c r="H126" s="74">
        <v>0</v>
      </c>
      <c r="I126" s="74">
        <v>0</v>
      </c>
      <c r="J126" s="74">
        <v>0</v>
      </c>
      <c r="K126" s="74">
        <v>0</v>
      </c>
      <c r="L126" s="74">
        <v>0</v>
      </c>
      <c r="M126" s="74">
        <v>0</v>
      </c>
      <c r="N126" s="74">
        <v>0</v>
      </c>
      <c r="O126" s="74">
        <v>0</v>
      </c>
      <c r="P126" s="74">
        <v>0</v>
      </c>
      <c r="Q126" s="74">
        <v>0</v>
      </c>
      <c r="R126" s="74">
        <v>0</v>
      </c>
      <c r="S126" s="29"/>
      <c r="Z126" s="72">
        <v>0</v>
      </c>
      <c r="AA126" s="45">
        <f t="shared" si="42"/>
        <v>0</v>
      </c>
      <c r="AI126" s="45">
        <f t="shared" ref="AI126:AI132" si="61">+F126</f>
        <v>0</v>
      </c>
    </row>
    <row r="127" spans="2:35" x14ac:dyDescent="0.2">
      <c r="B127" s="69" t="s">
        <v>245</v>
      </c>
      <c r="C127" s="69" t="s">
        <v>27</v>
      </c>
      <c r="D127" s="70" t="s">
        <v>246</v>
      </c>
      <c r="E127" s="60"/>
      <c r="F127" s="73">
        <f t="shared" si="60"/>
        <v>0</v>
      </c>
      <c r="G127" s="74">
        <v>0</v>
      </c>
      <c r="H127" s="74">
        <v>0</v>
      </c>
      <c r="I127" s="74">
        <v>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74">
        <v>0</v>
      </c>
      <c r="R127" s="74">
        <v>0</v>
      </c>
      <c r="S127" s="29"/>
      <c r="Z127" s="72">
        <v>0</v>
      </c>
      <c r="AA127" s="45">
        <f t="shared" si="42"/>
        <v>0</v>
      </c>
      <c r="AI127" s="45">
        <f t="shared" si="61"/>
        <v>0</v>
      </c>
    </row>
    <row r="128" spans="2:35" x14ac:dyDescent="0.2">
      <c r="B128" s="69" t="s">
        <v>247</v>
      </c>
      <c r="C128" s="69" t="s">
        <v>27</v>
      </c>
      <c r="D128" s="70" t="s">
        <v>248</v>
      </c>
      <c r="E128" s="60"/>
      <c r="F128" s="73">
        <f t="shared" si="60"/>
        <v>0</v>
      </c>
      <c r="G128" s="74">
        <v>0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0</v>
      </c>
      <c r="Q128" s="74">
        <v>0</v>
      </c>
      <c r="R128" s="74">
        <v>0</v>
      </c>
      <c r="S128" s="29"/>
      <c r="Z128" s="72">
        <v>0</v>
      </c>
      <c r="AA128" s="45">
        <f t="shared" si="42"/>
        <v>0</v>
      </c>
      <c r="AI128" s="45">
        <f t="shared" si="61"/>
        <v>0</v>
      </c>
    </row>
    <row r="129" spans="2:35" x14ac:dyDescent="0.2">
      <c r="B129" s="69" t="s">
        <v>249</v>
      </c>
      <c r="C129" s="69" t="s">
        <v>27</v>
      </c>
      <c r="D129" s="70" t="s">
        <v>250</v>
      </c>
      <c r="E129" s="60"/>
      <c r="F129" s="73">
        <f t="shared" si="60"/>
        <v>0</v>
      </c>
      <c r="G129" s="74">
        <v>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29"/>
      <c r="Z129" s="72">
        <v>0</v>
      </c>
      <c r="AA129" s="45">
        <f t="shared" si="42"/>
        <v>0</v>
      </c>
      <c r="AI129" s="45">
        <f t="shared" si="61"/>
        <v>0</v>
      </c>
    </row>
    <row r="130" spans="2:35" x14ac:dyDescent="0.2">
      <c r="B130" s="69" t="s">
        <v>251</v>
      </c>
      <c r="C130" s="69" t="s">
        <v>27</v>
      </c>
      <c r="D130" s="70" t="s">
        <v>252</v>
      </c>
      <c r="E130" s="60"/>
      <c r="F130" s="73">
        <f t="shared" si="60"/>
        <v>0</v>
      </c>
      <c r="G130" s="74">
        <v>0</v>
      </c>
      <c r="H130" s="74">
        <v>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4">
        <v>0</v>
      </c>
      <c r="Q130" s="74">
        <v>0</v>
      </c>
      <c r="R130" s="74">
        <v>0</v>
      </c>
      <c r="S130" s="29"/>
      <c r="Z130" s="72">
        <v>0</v>
      </c>
      <c r="AA130" s="45">
        <f t="shared" si="42"/>
        <v>0</v>
      </c>
      <c r="AI130" s="45">
        <f t="shared" si="61"/>
        <v>0</v>
      </c>
    </row>
    <row r="131" spans="2:35" x14ac:dyDescent="0.2">
      <c r="B131" s="69" t="s">
        <v>253</v>
      </c>
      <c r="C131" s="69" t="s">
        <v>27</v>
      </c>
      <c r="D131" s="70" t="s">
        <v>254</v>
      </c>
      <c r="E131" s="60"/>
      <c r="F131" s="73">
        <f t="shared" si="60"/>
        <v>44753.390000000014</v>
      </c>
      <c r="G131" s="74">
        <v>10000</v>
      </c>
      <c r="H131" s="74">
        <v>8000</v>
      </c>
      <c r="I131" s="74">
        <v>7000</v>
      </c>
      <c r="J131" s="74">
        <v>3000</v>
      </c>
      <c r="K131" s="74">
        <v>0</v>
      </c>
      <c r="L131" s="74">
        <v>3165.06</v>
      </c>
      <c r="M131" s="74">
        <v>1671.16</v>
      </c>
      <c r="N131" s="74">
        <v>1671.16</v>
      </c>
      <c r="O131" s="74">
        <v>1671.16</v>
      </c>
      <c r="P131" s="74">
        <v>1843.26</v>
      </c>
      <c r="Q131" s="74">
        <v>879.07</v>
      </c>
      <c r="R131" s="74">
        <v>5852.52</v>
      </c>
      <c r="S131" s="29"/>
      <c r="Z131" s="72">
        <v>44753.39</v>
      </c>
      <c r="AA131" s="45">
        <f t="shared" si="42"/>
        <v>0</v>
      </c>
      <c r="AI131" s="45">
        <f t="shared" si="61"/>
        <v>44753.390000000014</v>
      </c>
    </row>
    <row r="132" spans="2:35" x14ac:dyDescent="0.2">
      <c r="B132" s="69" t="s">
        <v>255</v>
      </c>
      <c r="C132" s="69" t="s">
        <v>27</v>
      </c>
      <c r="D132" s="70" t="s">
        <v>256</v>
      </c>
      <c r="E132" s="60"/>
      <c r="F132" s="73">
        <f t="shared" si="60"/>
        <v>-7500</v>
      </c>
      <c r="G132" s="74">
        <v>-3000</v>
      </c>
      <c r="H132" s="74">
        <v>-2400</v>
      </c>
      <c r="I132" s="74">
        <v>-2100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29"/>
      <c r="Z132" s="72">
        <v>-7500</v>
      </c>
      <c r="AA132" s="45">
        <f t="shared" si="42"/>
        <v>0</v>
      </c>
      <c r="AI132" s="45">
        <f t="shared" si="61"/>
        <v>-7500</v>
      </c>
    </row>
    <row r="133" spans="2:35" x14ac:dyDescent="0.2">
      <c r="B133" s="57" t="s">
        <v>257</v>
      </c>
      <c r="C133" s="57"/>
      <c r="D133" s="59" t="s">
        <v>258</v>
      </c>
      <c r="E133" s="60"/>
      <c r="F133" s="77">
        <f>SUM(F134:F142)</f>
        <v>25048.190000000006</v>
      </c>
      <c r="G133" s="78">
        <f t="shared" ref="G133:R133" si="62">SUM(G134:G142)</f>
        <v>1271.9099999999999</v>
      </c>
      <c r="H133" s="78">
        <f t="shared" si="62"/>
        <v>1123.5999999999999</v>
      </c>
      <c r="I133" s="78">
        <f t="shared" si="62"/>
        <v>1945.59</v>
      </c>
      <c r="J133" s="78">
        <f t="shared" si="62"/>
        <v>2378.64</v>
      </c>
      <c r="K133" s="78">
        <f t="shared" si="62"/>
        <v>1568.56</v>
      </c>
      <c r="L133" s="78">
        <f t="shared" si="62"/>
        <v>961.01</v>
      </c>
      <c r="M133" s="78">
        <f t="shared" si="62"/>
        <v>949.32</v>
      </c>
      <c r="N133" s="78">
        <f t="shared" si="62"/>
        <v>949.32</v>
      </c>
      <c r="O133" s="78">
        <f t="shared" si="62"/>
        <v>8648.3999999999978</v>
      </c>
      <c r="P133" s="78">
        <f t="shared" si="62"/>
        <v>1985.8600000000001</v>
      </c>
      <c r="Q133" s="78">
        <f t="shared" si="62"/>
        <v>927.26</v>
      </c>
      <c r="R133" s="78">
        <f t="shared" si="62"/>
        <v>2338.7200000000003</v>
      </c>
      <c r="S133" s="29"/>
      <c r="Z133" s="48">
        <f t="shared" ref="Z133" si="63">SUM(Z134:Z142)</f>
        <v>25048.190000000002</v>
      </c>
      <c r="AA133" s="45">
        <f t="shared" si="42"/>
        <v>0</v>
      </c>
      <c r="AI133" s="45"/>
    </row>
    <row r="134" spans="2:35" x14ac:dyDescent="0.2">
      <c r="B134" s="69" t="s">
        <v>259</v>
      </c>
      <c r="C134" s="69" t="s">
        <v>260</v>
      </c>
      <c r="D134" s="70" t="s">
        <v>261</v>
      </c>
      <c r="E134" s="60"/>
      <c r="F134" s="73">
        <f t="shared" ref="F134:F142" si="64">SUM(G134:R134)</f>
        <v>8316.8499999999985</v>
      </c>
      <c r="G134" s="74">
        <v>492.53</v>
      </c>
      <c r="H134" s="74">
        <v>591.09</v>
      </c>
      <c r="I134" s="74">
        <v>1128.44</v>
      </c>
      <c r="J134" s="74">
        <v>429.88</v>
      </c>
      <c r="K134" s="74">
        <v>591.09</v>
      </c>
      <c r="L134" s="74">
        <v>322.41000000000003</v>
      </c>
      <c r="M134" s="74">
        <v>0</v>
      </c>
      <c r="N134" s="74">
        <v>0</v>
      </c>
      <c r="O134" s="74">
        <v>3707.72</v>
      </c>
      <c r="P134" s="74">
        <v>421.48</v>
      </c>
      <c r="Q134" s="74">
        <v>474.16</v>
      </c>
      <c r="R134" s="74">
        <v>158.05000000000001</v>
      </c>
      <c r="S134" s="29"/>
      <c r="Z134" s="75">
        <v>8316.85</v>
      </c>
      <c r="AA134" s="45">
        <f t="shared" si="42"/>
        <v>0</v>
      </c>
      <c r="AI134" s="45">
        <f t="shared" ref="AI134:AI142" si="65">+F134</f>
        <v>8316.8499999999985</v>
      </c>
    </row>
    <row r="135" spans="2:35" x14ac:dyDescent="0.2">
      <c r="B135" s="69" t="s">
        <v>262</v>
      </c>
      <c r="C135" s="69" t="s">
        <v>260</v>
      </c>
      <c r="D135" s="70" t="s">
        <v>263</v>
      </c>
      <c r="E135" s="60"/>
      <c r="F135" s="73">
        <f t="shared" si="64"/>
        <v>107.48</v>
      </c>
      <c r="G135" s="74">
        <v>0</v>
      </c>
      <c r="H135" s="74">
        <v>0</v>
      </c>
      <c r="I135" s="74">
        <v>53.74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53.74</v>
      </c>
      <c r="P135" s="74">
        <v>0</v>
      </c>
      <c r="Q135" s="74">
        <v>0</v>
      </c>
      <c r="R135" s="74">
        <v>0</v>
      </c>
      <c r="S135" s="29"/>
      <c r="Z135" s="75">
        <v>107.48</v>
      </c>
      <c r="AA135" s="45">
        <f t="shared" si="42"/>
        <v>0</v>
      </c>
      <c r="AI135" s="45">
        <f t="shared" si="65"/>
        <v>107.48</v>
      </c>
    </row>
    <row r="136" spans="2:35" x14ac:dyDescent="0.2">
      <c r="B136" s="69" t="s">
        <v>264</v>
      </c>
      <c r="C136" s="69" t="s">
        <v>260</v>
      </c>
      <c r="D136" s="70" t="s">
        <v>265</v>
      </c>
      <c r="E136" s="60"/>
      <c r="F136" s="73">
        <f t="shared" si="64"/>
        <v>975.24</v>
      </c>
      <c r="G136" s="74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792</v>
      </c>
      <c r="P136" s="74">
        <v>0</v>
      </c>
      <c r="Q136" s="74">
        <v>0</v>
      </c>
      <c r="R136" s="74">
        <v>183.24</v>
      </c>
      <c r="S136" s="29"/>
      <c r="Z136" s="75">
        <v>975.24</v>
      </c>
      <c r="AA136" s="45">
        <f t="shared" si="42"/>
        <v>0</v>
      </c>
      <c r="AI136" s="45">
        <f t="shared" si="65"/>
        <v>975.24</v>
      </c>
    </row>
    <row r="137" spans="2:35" x14ac:dyDescent="0.2">
      <c r="B137" s="69" t="s">
        <v>266</v>
      </c>
      <c r="C137" s="69" t="s">
        <v>260</v>
      </c>
      <c r="D137" s="70" t="s">
        <v>267</v>
      </c>
      <c r="E137" s="60"/>
      <c r="F137" s="73">
        <f t="shared" si="64"/>
        <v>2847.96</v>
      </c>
      <c r="G137" s="74">
        <v>0</v>
      </c>
      <c r="H137" s="74">
        <v>0</v>
      </c>
      <c r="I137" s="74">
        <v>0</v>
      </c>
      <c r="J137" s="74">
        <v>0</v>
      </c>
      <c r="K137" s="74">
        <v>0</v>
      </c>
      <c r="L137" s="74">
        <v>0</v>
      </c>
      <c r="M137" s="74">
        <v>949.32</v>
      </c>
      <c r="N137" s="74">
        <v>949.32</v>
      </c>
      <c r="O137" s="74">
        <v>949.32</v>
      </c>
      <c r="P137" s="74">
        <v>0</v>
      </c>
      <c r="Q137" s="74">
        <v>0</v>
      </c>
      <c r="R137" s="74">
        <v>0</v>
      </c>
      <c r="S137" s="29"/>
      <c r="Z137" s="72">
        <v>2847.96</v>
      </c>
      <c r="AA137" s="45">
        <f t="shared" si="42"/>
        <v>0</v>
      </c>
      <c r="AI137" s="45">
        <f t="shared" si="65"/>
        <v>2847.96</v>
      </c>
    </row>
    <row r="138" spans="2:35" x14ac:dyDescent="0.2">
      <c r="B138" s="69" t="s">
        <v>268</v>
      </c>
      <c r="C138" s="69" t="s">
        <v>260</v>
      </c>
      <c r="D138" s="70" t="s">
        <v>269</v>
      </c>
      <c r="E138" s="60"/>
      <c r="F138" s="73">
        <f t="shared" si="64"/>
        <v>8931.4200000000019</v>
      </c>
      <c r="G138" s="74">
        <v>0</v>
      </c>
      <c r="H138" s="74">
        <v>0</v>
      </c>
      <c r="I138" s="74">
        <v>0</v>
      </c>
      <c r="J138" s="74">
        <v>1948.76</v>
      </c>
      <c r="K138" s="74">
        <v>708.64</v>
      </c>
      <c r="L138" s="74">
        <v>442.9</v>
      </c>
      <c r="M138" s="74">
        <v>0</v>
      </c>
      <c r="N138" s="74">
        <v>0</v>
      </c>
      <c r="O138" s="74">
        <v>2568.8200000000002</v>
      </c>
      <c r="P138" s="74">
        <v>906.19</v>
      </c>
      <c r="Q138" s="74">
        <v>453.1</v>
      </c>
      <c r="R138" s="74">
        <v>1903.01</v>
      </c>
      <c r="S138" s="29"/>
      <c r="Z138" s="72">
        <v>8931.42</v>
      </c>
      <c r="AA138" s="45">
        <f t="shared" si="42"/>
        <v>0</v>
      </c>
      <c r="AI138" s="45">
        <f t="shared" si="65"/>
        <v>8931.4200000000019</v>
      </c>
    </row>
    <row r="139" spans="2:35" x14ac:dyDescent="0.2">
      <c r="B139" s="69" t="s">
        <v>270</v>
      </c>
      <c r="C139" s="69" t="s">
        <v>260</v>
      </c>
      <c r="D139" s="70" t="s">
        <v>271</v>
      </c>
      <c r="E139" s="60"/>
      <c r="F139" s="73">
        <f t="shared" si="64"/>
        <v>1166.99</v>
      </c>
      <c r="G139" s="74">
        <v>179.22</v>
      </c>
      <c r="H139" s="74">
        <v>89.61</v>
      </c>
      <c r="I139" s="74">
        <v>89.61</v>
      </c>
      <c r="J139" s="74">
        <v>0</v>
      </c>
      <c r="K139" s="74">
        <v>268.83</v>
      </c>
      <c r="L139" s="74">
        <v>0</v>
      </c>
      <c r="M139" s="74">
        <v>0</v>
      </c>
      <c r="N139" s="74">
        <v>0</v>
      </c>
      <c r="O139" s="74">
        <v>448.05</v>
      </c>
      <c r="P139" s="74">
        <v>91.67</v>
      </c>
      <c r="Q139" s="74">
        <v>0</v>
      </c>
      <c r="R139" s="74">
        <v>0</v>
      </c>
      <c r="S139" s="29"/>
      <c r="Z139" s="72">
        <v>1166.99</v>
      </c>
      <c r="AA139" s="45">
        <f t="shared" si="42"/>
        <v>0</v>
      </c>
      <c r="AI139" s="45">
        <f t="shared" si="65"/>
        <v>1166.99</v>
      </c>
    </row>
    <row r="140" spans="2:35" x14ac:dyDescent="0.2">
      <c r="B140" s="69" t="s">
        <v>272</v>
      </c>
      <c r="C140" s="69" t="s">
        <v>260</v>
      </c>
      <c r="D140" s="70" t="s">
        <v>273</v>
      </c>
      <c r="E140" s="60"/>
      <c r="F140" s="73">
        <f t="shared" si="64"/>
        <v>222.15</v>
      </c>
      <c r="G140" s="74">
        <v>67.650000000000006</v>
      </c>
      <c r="H140" s="74">
        <v>0</v>
      </c>
      <c r="I140" s="74">
        <v>0</v>
      </c>
      <c r="J140" s="74">
        <v>0</v>
      </c>
      <c r="K140" s="74">
        <v>0</v>
      </c>
      <c r="L140" s="74">
        <v>103</v>
      </c>
      <c r="M140" s="74">
        <v>0</v>
      </c>
      <c r="N140" s="74">
        <v>0</v>
      </c>
      <c r="O140" s="74">
        <v>51.5</v>
      </c>
      <c r="P140" s="74">
        <v>0</v>
      </c>
      <c r="Q140" s="74">
        <v>0</v>
      </c>
      <c r="R140" s="74">
        <v>0</v>
      </c>
      <c r="S140" s="29"/>
      <c r="Z140" s="72">
        <v>222.15</v>
      </c>
      <c r="AA140" s="45">
        <f t="shared" si="42"/>
        <v>0</v>
      </c>
      <c r="AI140" s="45">
        <f t="shared" si="65"/>
        <v>222.15</v>
      </c>
    </row>
    <row r="141" spans="2:35" x14ac:dyDescent="0.2">
      <c r="B141" s="69" t="s">
        <v>274</v>
      </c>
      <c r="C141" s="69" t="s">
        <v>260</v>
      </c>
      <c r="D141" s="70" t="s">
        <v>275</v>
      </c>
      <c r="E141" s="60"/>
      <c r="F141" s="73">
        <f t="shared" si="64"/>
        <v>169.95</v>
      </c>
      <c r="G141" s="74">
        <v>0</v>
      </c>
      <c r="H141" s="74">
        <v>0</v>
      </c>
      <c r="I141" s="74">
        <v>0</v>
      </c>
      <c r="J141" s="74">
        <v>0</v>
      </c>
      <c r="K141" s="74">
        <v>0</v>
      </c>
      <c r="L141" s="74">
        <v>92.7</v>
      </c>
      <c r="M141" s="74">
        <v>0</v>
      </c>
      <c r="N141" s="74">
        <v>0</v>
      </c>
      <c r="O141" s="74">
        <v>77.25</v>
      </c>
      <c r="P141" s="74">
        <v>0</v>
      </c>
      <c r="Q141" s="74">
        <v>0</v>
      </c>
      <c r="R141" s="74">
        <v>0</v>
      </c>
      <c r="S141" s="29"/>
      <c r="Z141" s="72">
        <v>169.95</v>
      </c>
      <c r="AA141" s="45">
        <f t="shared" si="42"/>
        <v>0</v>
      </c>
      <c r="AI141" s="45">
        <f t="shared" si="65"/>
        <v>169.95</v>
      </c>
    </row>
    <row r="142" spans="2:35" x14ac:dyDescent="0.2">
      <c r="B142" s="69" t="s">
        <v>276</v>
      </c>
      <c r="C142" s="69" t="s">
        <v>260</v>
      </c>
      <c r="D142" s="70" t="s">
        <v>277</v>
      </c>
      <c r="E142" s="60"/>
      <c r="F142" s="73">
        <f t="shared" si="64"/>
        <v>2310.15</v>
      </c>
      <c r="G142" s="74">
        <v>532.51</v>
      </c>
      <c r="H142" s="74">
        <v>442.9</v>
      </c>
      <c r="I142" s="74">
        <v>673.8</v>
      </c>
      <c r="J142" s="74">
        <v>0</v>
      </c>
      <c r="K142" s="74">
        <v>0</v>
      </c>
      <c r="L142" s="74">
        <v>0</v>
      </c>
      <c r="M142" s="74">
        <v>0</v>
      </c>
      <c r="N142" s="74">
        <v>0</v>
      </c>
      <c r="O142" s="74">
        <v>0</v>
      </c>
      <c r="P142" s="74">
        <v>566.52</v>
      </c>
      <c r="Q142" s="74">
        <v>0</v>
      </c>
      <c r="R142" s="74">
        <v>94.42</v>
      </c>
      <c r="S142" s="29"/>
      <c r="Z142" s="72">
        <v>2310.15</v>
      </c>
      <c r="AA142" s="45">
        <f t="shared" si="42"/>
        <v>0</v>
      </c>
      <c r="AI142" s="45">
        <f t="shared" si="65"/>
        <v>2310.15</v>
      </c>
    </row>
    <row r="143" spans="2:35" x14ac:dyDescent="0.2">
      <c r="B143" s="57" t="s">
        <v>278</v>
      </c>
      <c r="C143" s="57"/>
      <c r="D143" s="59" t="s">
        <v>279</v>
      </c>
      <c r="E143" s="60"/>
      <c r="F143" s="77">
        <f>SUM(F144:F159)+F162</f>
        <v>238075.74999999997</v>
      </c>
      <c r="G143" s="78">
        <f t="shared" ref="G143:R143" si="66">SUM(G144:G159)+G162</f>
        <v>50329.65</v>
      </c>
      <c r="H143" s="78">
        <f t="shared" si="66"/>
        <v>27760.989999999998</v>
      </c>
      <c r="I143" s="78">
        <f t="shared" si="66"/>
        <v>19999.73</v>
      </c>
      <c r="J143" s="78">
        <f t="shared" si="66"/>
        <v>21846.879999999997</v>
      </c>
      <c r="K143" s="78">
        <f t="shared" si="66"/>
        <v>13263.96</v>
      </c>
      <c r="L143" s="78">
        <f t="shared" si="66"/>
        <v>8045.76</v>
      </c>
      <c r="M143" s="78">
        <f t="shared" si="66"/>
        <v>0</v>
      </c>
      <c r="N143" s="78">
        <f t="shared" si="66"/>
        <v>5838.3099999999995</v>
      </c>
      <c r="O143" s="78">
        <f t="shared" si="66"/>
        <v>50695.81</v>
      </c>
      <c r="P143" s="78">
        <f t="shared" si="66"/>
        <v>17446.580000000002</v>
      </c>
      <c r="Q143" s="78">
        <f t="shared" si="66"/>
        <v>20958.68</v>
      </c>
      <c r="R143" s="78">
        <f t="shared" si="66"/>
        <v>1889.3999999999999</v>
      </c>
      <c r="S143" s="29"/>
      <c r="Z143" s="48">
        <f t="shared" ref="Z143" si="67">SUM(Z144:Z159)+Z162</f>
        <v>238075.75000000003</v>
      </c>
      <c r="AA143" s="45">
        <f t="shared" si="42"/>
        <v>0</v>
      </c>
      <c r="AI143" s="45"/>
    </row>
    <row r="144" spans="2:35" x14ac:dyDescent="0.2">
      <c r="B144" s="69" t="s">
        <v>280</v>
      </c>
      <c r="C144" s="69" t="s">
        <v>27</v>
      </c>
      <c r="D144" s="70" t="s">
        <v>281</v>
      </c>
      <c r="E144" s="60"/>
      <c r="F144" s="73">
        <f t="shared" ref="F144:F159" si="68">SUM(G144:R144)</f>
        <v>14528.72</v>
      </c>
      <c r="G144" s="74">
        <v>2579.5300000000002</v>
      </c>
      <c r="H144" s="74">
        <v>2020.63</v>
      </c>
      <c r="I144" s="74">
        <v>1074.81</v>
      </c>
      <c r="J144" s="74">
        <v>1461.73</v>
      </c>
      <c r="K144" s="74">
        <v>988.82</v>
      </c>
      <c r="L144" s="74">
        <v>601.89</v>
      </c>
      <c r="M144" s="74">
        <v>0</v>
      </c>
      <c r="N144" s="74">
        <v>0</v>
      </c>
      <c r="O144" s="74">
        <v>3525.34</v>
      </c>
      <c r="P144" s="74">
        <v>1095.8399999999999</v>
      </c>
      <c r="Q144" s="74">
        <v>1053.69</v>
      </c>
      <c r="R144" s="74">
        <v>126.44</v>
      </c>
      <c r="S144" s="29"/>
      <c r="Z144" s="75">
        <v>14528.72</v>
      </c>
      <c r="AA144" s="45">
        <f t="shared" si="42"/>
        <v>0</v>
      </c>
      <c r="AI144" s="45">
        <f t="shared" ref="AI144:AI159" si="69">+F144</f>
        <v>14528.72</v>
      </c>
    </row>
    <row r="145" spans="2:35" x14ac:dyDescent="0.2">
      <c r="B145" s="69" t="s">
        <v>282</v>
      </c>
      <c r="C145" s="69" t="s">
        <v>27</v>
      </c>
      <c r="D145" s="70" t="s">
        <v>283</v>
      </c>
      <c r="E145" s="60"/>
      <c r="F145" s="73">
        <f t="shared" si="68"/>
        <v>10880.380000000001</v>
      </c>
      <c r="G145" s="74">
        <v>10753.94</v>
      </c>
      <c r="H145" s="74">
        <v>0</v>
      </c>
      <c r="I145" s="74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74">
        <v>0</v>
      </c>
      <c r="Q145" s="74">
        <v>126.44</v>
      </c>
      <c r="R145" s="74">
        <v>0</v>
      </c>
      <c r="S145" s="29"/>
      <c r="Z145" s="72">
        <v>10880.38</v>
      </c>
      <c r="AA145" s="45">
        <f t="shared" ref="AA145:AA208" si="70">+Z145-F145</f>
        <v>0</v>
      </c>
      <c r="AI145" s="45">
        <f t="shared" si="69"/>
        <v>10880.380000000001</v>
      </c>
    </row>
    <row r="146" spans="2:35" x14ac:dyDescent="0.2">
      <c r="B146" s="69" t="s">
        <v>284</v>
      </c>
      <c r="C146" s="69" t="s">
        <v>27</v>
      </c>
      <c r="D146" s="70" t="s">
        <v>285</v>
      </c>
      <c r="E146" s="60"/>
      <c r="F146" s="73">
        <f t="shared" si="68"/>
        <v>483.65</v>
      </c>
      <c r="G146" s="74">
        <v>0</v>
      </c>
      <c r="H146" s="74">
        <v>161.22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322.43</v>
      </c>
      <c r="P146" s="74">
        <v>0</v>
      </c>
      <c r="Q146" s="74">
        <v>0</v>
      </c>
      <c r="R146" s="74">
        <v>0</v>
      </c>
      <c r="S146" s="29"/>
      <c r="Z146" s="72">
        <v>483.65</v>
      </c>
      <c r="AA146" s="45">
        <f t="shared" si="70"/>
        <v>0</v>
      </c>
      <c r="AI146" s="45">
        <f t="shared" si="69"/>
        <v>483.65</v>
      </c>
    </row>
    <row r="147" spans="2:35" x14ac:dyDescent="0.2">
      <c r="B147" s="69" t="s">
        <v>286</v>
      </c>
      <c r="C147" s="69" t="s">
        <v>27</v>
      </c>
      <c r="D147" s="70" t="s">
        <v>287</v>
      </c>
      <c r="E147" s="60"/>
      <c r="F147" s="73">
        <f t="shared" si="68"/>
        <v>229.9</v>
      </c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74">
        <v>0</v>
      </c>
      <c r="Q147" s="74">
        <v>114.95</v>
      </c>
      <c r="R147" s="74">
        <v>114.95</v>
      </c>
      <c r="S147" s="29"/>
      <c r="Z147" s="72">
        <v>229.9</v>
      </c>
      <c r="AA147" s="45">
        <f t="shared" si="70"/>
        <v>0</v>
      </c>
      <c r="AI147" s="45">
        <f t="shared" si="69"/>
        <v>229.9</v>
      </c>
    </row>
    <row r="148" spans="2:35" x14ac:dyDescent="0.2">
      <c r="B148" s="69" t="s">
        <v>288</v>
      </c>
      <c r="C148" s="69" t="s">
        <v>27</v>
      </c>
      <c r="D148" s="70" t="s">
        <v>289</v>
      </c>
      <c r="E148" s="60"/>
      <c r="F148" s="73">
        <f t="shared" si="68"/>
        <v>491.63</v>
      </c>
      <c r="G148" s="74">
        <v>134.25</v>
      </c>
      <c r="H148" s="74">
        <v>0</v>
      </c>
      <c r="I148" s="74">
        <v>89.36</v>
      </c>
      <c r="J148" s="74">
        <v>0</v>
      </c>
      <c r="K148" s="74">
        <v>0</v>
      </c>
      <c r="L148" s="74">
        <v>44.78</v>
      </c>
      <c r="M148" s="74">
        <v>0</v>
      </c>
      <c r="N148" s="74">
        <v>0</v>
      </c>
      <c r="O148" s="74">
        <v>44.68</v>
      </c>
      <c r="P148" s="74">
        <v>86.77</v>
      </c>
      <c r="Q148" s="74">
        <v>48.41</v>
      </c>
      <c r="R148" s="74">
        <v>43.38</v>
      </c>
      <c r="S148" s="29"/>
      <c r="Z148" s="75">
        <v>491.63</v>
      </c>
      <c r="AA148" s="45">
        <f t="shared" si="70"/>
        <v>0</v>
      </c>
      <c r="AI148" s="45">
        <f t="shared" si="69"/>
        <v>491.63</v>
      </c>
    </row>
    <row r="149" spans="2:35" x14ac:dyDescent="0.2">
      <c r="B149" s="69" t="s">
        <v>290</v>
      </c>
      <c r="C149" s="69" t="s">
        <v>27</v>
      </c>
      <c r="D149" s="70" t="s">
        <v>291</v>
      </c>
      <c r="E149" s="60"/>
      <c r="F149" s="73">
        <f t="shared" si="68"/>
        <v>444.72999999999996</v>
      </c>
      <c r="G149" s="74">
        <v>217.4</v>
      </c>
      <c r="H149" s="74">
        <v>0</v>
      </c>
      <c r="I149" s="74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130.13999999999999</v>
      </c>
      <c r="P149" s="74">
        <v>0</v>
      </c>
      <c r="Q149" s="74">
        <v>0</v>
      </c>
      <c r="R149" s="74">
        <f>84.24+12.95</f>
        <v>97.19</v>
      </c>
      <c r="S149" s="29"/>
      <c r="Z149" s="72">
        <v>444.73</v>
      </c>
      <c r="AA149" s="45">
        <f t="shared" si="70"/>
        <v>0</v>
      </c>
      <c r="AG149" s="32">
        <f>431.78*1.03</f>
        <v>444.73339999999996</v>
      </c>
      <c r="AH149" s="51">
        <f t="shared" ref="AH149:AH212" si="71">+AG149-F149</f>
        <v>3.3999999999991815E-3</v>
      </c>
      <c r="AI149" s="45">
        <f t="shared" si="69"/>
        <v>444.72999999999996</v>
      </c>
    </row>
    <row r="150" spans="2:35" x14ac:dyDescent="0.2">
      <c r="B150" s="69" t="s">
        <v>292</v>
      </c>
      <c r="C150" s="69" t="s">
        <v>27</v>
      </c>
      <c r="D150" s="70" t="s">
        <v>293</v>
      </c>
      <c r="E150" s="60"/>
      <c r="F150" s="73">
        <f t="shared" si="68"/>
        <v>91.67</v>
      </c>
      <c r="G150" s="74">
        <v>0</v>
      </c>
      <c r="H150" s="74">
        <v>0</v>
      </c>
      <c r="I150" s="74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74">
        <v>91.67</v>
      </c>
      <c r="Q150" s="74">
        <v>0</v>
      </c>
      <c r="R150" s="74">
        <v>0</v>
      </c>
      <c r="S150" s="29"/>
      <c r="Z150" s="72">
        <v>91.67</v>
      </c>
      <c r="AA150" s="45">
        <f t="shared" si="70"/>
        <v>0</v>
      </c>
      <c r="AG150" s="32">
        <f>89*1.03</f>
        <v>91.67</v>
      </c>
      <c r="AH150" s="51">
        <f t="shared" si="71"/>
        <v>0</v>
      </c>
      <c r="AI150" s="45">
        <f t="shared" si="69"/>
        <v>91.67</v>
      </c>
    </row>
    <row r="151" spans="2:35" x14ac:dyDescent="0.2">
      <c r="B151" s="69" t="s">
        <v>294</v>
      </c>
      <c r="C151" s="69" t="s">
        <v>27</v>
      </c>
      <c r="D151" s="70" t="s">
        <v>295</v>
      </c>
      <c r="E151" s="60"/>
      <c r="F151" s="73">
        <f t="shared" si="68"/>
        <v>298.25</v>
      </c>
      <c r="G151" s="74">
        <v>0</v>
      </c>
      <c r="H151" s="74">
        <v>96.52</v>
      </c>
      <c r="I151" s="74">
        <v>0</v>
      </c>
      <c r="J151" s="74">
        <v>96.52</v>
      </c>
      <c r="K151" s="74">
        <v>0</v>
      </c>
      <c r="L151" s="74">
        <v>0</v>
      </c>
      <c r="M151" s="74">
        <v>0</v>
      </c>
      <c r="N151" s="74">
        <v>0</v>
      </c>
      <c r="O151" s="74">
        <f>96.52+8.69</f>
        <v>105.21</v>
      </c>
      <c r="P151" s="74">
        <v>0</v>
      </c>
      <c r="Q151" s="74">
        <v>0</v>
      </c>
      <c r="R151" s="74">
        <v>0</v>
      </c>
      <c r="S151" s="29"/>
      <c r="Z151" s="72">
        <v>298.25</v>
      </c>
      <c r="AA151" s="45">
        <f t="shared" si="70"/>
        <v>0</v>
      </c>
      <c r="AG151" s="32">
        <f>289.56*1.03</f>
        <v>298.24680000000001</v>
      </c>
      <c r="AH151" s="51">
        <f t="shared" si="71"/>
        <v>-3.1999999999925421E-3</v>
      </c>
      <c r="AI151" s="45">
        <f t="shared" si="69"/>
        <v>298.25</v>
      </c>
    </row>
    <row r="152" spans="2:35" x14ac:dyDescent="0.2">
      <c r="B152" s="69" t="s">
        <v>296</v>
      </c>
      <c r="C152" s="69" t="s">
        <v>27</v>
      </c>
      <c r="D152" s="70" t="s">
        <v>297</v>
      </c>
      <c r="E152" s="60"/>
      <c r="F152" s="73">
        <f t="shared" si="68"/>
        <v>0</v>
      </c>
      <c r="G152" s="74">
        <v>0</v>
      </c>
      <c r="H152" s="74">
        <v>0</v>
      </c>
      <c r="I152" s="74">
        <v>0</v>
      </c>
      <c r="J152" s="74">
        <v>0</v>
      </c>
      <c r="K152" s="74">
        <v>0</v>
      </c>
      <c r="L152" s="74">
        <v>0</v>
      </c>
      <c r="M152" s="74">
        <v>0</v>
      </c>
      <c r="N152" s="74">
        <v>0</v>
      </c>
      <c r="O152" s="74">
        <v>0</v>
      </c>
      <c r="P152" s="74">
        <v>0</v>
      </c>
      <c r="Q152" s="74">
        <v>0</v>
      </c>
      <c r="R152" s="74">
        <v>0</v>
      </c>
      <c r="S152" s="29"/>
      <c r="Z152" s="72">
        <v>0</v>
      </c>
      <c r="AA152" s="45">
        <f t="shared" si="70"/>
        <v>0</v>
      </c>
      <c r="AH152" s="51">
        <f t="shared" si="71"/>
        <v>0</v>
      </c>
      <c r="AI152" s="45">
        <f t="shared" si="69"/>
        <v>0</v>
      </c>
    </row>
    <row r="153" spans="2:35" x14ac:dyDescent="0.2">
      <c r="B153" s="69" t="s">
        <v>298</v>
      </c>
      <c r="C153" s="69" t="s">
        <v>27</v>
      </c>
      <c r="D153" s="70" t="s">
        <v>299</v>
      </c>
      <c r="E153" s="60"/>
      <c r="F153" s="73">
        <f t="shared" si="68"/>
        <v>140.10999999999999</v>
      </c>
      <c r="G153" s="74">
        <v>0</v>
      </c>
      <c r="H153" s="74">
        <v>0</v>
      </c>
      <c r="I153" s="74">
        <v>0</v>
      </c>
      <c r="J153" s="74">
        <v>93.91</v>
      </c>
      <c r="K153" s="74">
        <v>0</v>
      </c>
      <c r="L153" s="74">
        <v>0</v>
      </c>
      <c r="M153" s="74">
        <v>0</v>
      </c>
      <c r="N153" s="74">
        <v>0</v>
      </c>
      <c r="O153" s="74">
        <v>0</v>
      </c>
      <c r="P153" s="74">
        <f>42.12+4.08</f>
        <v>46.199999999999996</v>
      </c>
      <c r="Q153" s="74">
        <v>0</v>
      </c>
      <c r="R153" s="74">
        <v>0</v>
      </c>
      <c r="S153" s="29"/>
      <c r="Z153" s="72">
        <v>140.11000000000001</v>
      </c>
      <c r="AA153" s="45">
        <f t="shared" si="70"/>
        <v>0</v>
      </c>
      <c r="AG153" s="32">
        <f>136.03*1.03</f>
        <v>140.11090000000002</v>
      </c>
      <c r="AH153" s="51">
        <f t="shared" si="71"/>
        <v>9.000000000298769E-4</v>
      </c>
      <c r="AI153" s="45">
        <f t="shared" si="69"/>
        <v>140.10999999999999</v>
      </c>
    </row>
    <row r="154" spans="2:35" x14ac:dyDescent="0.2">
      <c r="B154" s="69" t="s">
        <v>300</v>
      </c>
      <c r="C154" s="69" t="s">
        <v>27</v>
      </c>
      <c r="D154" s="70" t="s">
        <v>301</v>
      </c>
      <c r="E154" s="60"/>
      <c r="F154" s="73">
        <f t="shared" si="68"/>
        <v>19157.329999999998</v>
      </c>
      <c r="G154" s="74">
        <v>3511.2</v>
      </c>
      <c r="H154" s="74">
        <v>2629.48</v>
      </c>
      <c r="I154" s="74">
        <v>939.1</v>
      </c>
      <c r="J154" s="74">
        <v>1784.29</v>
      </c>
      <c r="K154" s="74">
        <v>1596.47</v>
      </c>
      <c r="L154" s="74">
        <v>845.19</v>
      </c>
      <c r="M154" s="74">
        <v>0</v>
      </c>
      <c r="N154" s="74">
        <v>557.98</v>
      </c>
      <c r="O154" s="74">
        <v>6010.24</v>
      </c>
      <c r="P154" s="74">
        <v>366.68</v>
      </c>
      <c r="Q154" s="74">
        <v>733.36</v>
      </c>
      <c r="R154" s="74">
        <v>183.34</v>
      </c>
      <c r="S154" s="29"/>
      <c r="Z154" s="72">
        <v>19157.330000000002</v>
      </c>
      <c r="AA154" s="45">
        <f t="shared" si="70"/>
        <v>0</v>
      </c>
      <c r="AG154" s="32">
        <f>18599.35*1.03</f>
        <v>19157.3305</v>
      </c>
      <c r="AH154" s="51">
        <f t="shared" si="71"/>
        <v>5.0000000192085281E-4</v>
      </c>
      <c r="AI154" s="45">
        <f t="shared" si="69"/>
        <v>19157.329999999998</v>
      </c>
    </row>
    <row r="155" spans="2:35" x14ac:dyDescent="0.2">
      <c r="B155" s="69" t="s">
        <v>302</v>
      </c>
      <c r="C155" s="69" t="s">
        <v>27</v>
      </c>
      <c r="D155" s="70" t="s">
        <v>303</v>
      </c>
      <c r="E155" s="60"/>
      <c r="F155" s="73">
        <f t="shared" si="68"/>
        <v>55723.360000000001</v>
      </c>
      <c r="G155" s="74">
        <v>9480.48</v>
      </c>
      <c r="H155" s="74">
        <v>7419.06</v>
      </c>
      <c r="I155" s="74">
        <v>6182.55</v>
      </c>
      <c r="J155" s="74">
        <v>5358.21</v>
      </c>
      <c r="K155" s="74">
        <v>2473.02</v>
      </c>
      <c r="L155" s="74">
        <v>1648.68</v>
      </c>
      <c r="M155" s="74">
        <v>0</v>
      </c>
      <c r="N155" s="74">
        <v>1623.01</v>
      </c>
      <c r="O155" s="74">
        <v>6182.55</v>
      </c>
      <c r="P155" s="74">
        <v>8486.1</v>
      </c>
      <c r="Q155" s="74">
        <v>6465.6</v>
      </c>
      <c r="R155" s="74">
        <v>404.1</v>
      </c>
      <c r="S155" s="29"/>
      <c r="Z155" s="72">
        <v>55723.360000000001</v>
      </c>
      <c r="AA155" s="45">
        <f t="shared" si="70"/>
        <v>0</v>
      </c>
      <c r="AG155" s="32">
        <f>54100.35*1.03</f>
        <v>55723.360500000003</v>
      </c>
      <c r="AH155" s="51">
        <f t="shared" si="71"/>
        <v>5.0000000192085281E-4</v>
      </c>
      <c r="AI155" s="45">
        <f t="shared" si="69"/>
        <v>55723.360000000001</v>
      </c>
    </row>
    <row r="156" spans="2:35" x14ac:dyDescent="0.2">
      <c r="B156" s="69" t="s">
        <v>304</v>
      </c>
      <c r="C156" s="69" t="s">
        <v>27</v>
      </c>
      <c r="D156" s="70" t="s">
        <v>305</v>
      </c>
      <c r="E156" s="60"/>
      <c r="F156" s="73">
        <f t="shared" si="68"/>
        <v>4195.5300000000007</v>
      </c>
      <c r="G156" s="74">
        <v>1648.7</v>
      </c>
      <c r="H156" s="74">
        <v>0</v>
      </c>
      <c r="I156" s="74">
        <v>0</v>
      </c>
      <c r="J156" s="74">
        <v>0</v>
      </c>
      <c r="K156" s="74">
        <v>0</v>
      </c>
      <c r="L156" s="74">
        <v>0</v>
      </c>
      <c r="M156" s="74">
        <v>0</v>
      </c>
      <c r="N156" s="74">
        <v>0</v>
      </c>
      <c r="O156" s="74">
        <v>0</v>
      </c>
      <c r="P156" s="74">
        <v>122.2</v>
      </c>
      <c r="Q156" s="74">
        <v>2424.63</v>
      </c>
      <c r="R156" s="74">
        <v>0</v>
      </c>
      <c r="S156" s="29"/>
      <c r="Z156" s="72">
        <v>4195.53</v>
      </c>
      <c r="AA156" s="45">
        <f t="shared" si="70"/>
        <v>0</v>
      </c>
      <c r="AG156" s="32">
        <f>4073.33*1.03</f>
        <v>4195.5299000000005</v>
      </c>
      <c r="AH156" s="51">
        <f t="shared" si="71"/>
        <v>-1.0000000020227162E-4</v>
      </c>
      <c r="AI156" s="45">
        <f t="shared" si="69"/>
        <v>4195.5300000000007</v>
      </c>
    </row>
    <row r="157" spans="2:35" x14ac:dyDescent="0.2">
      <c r="B157" s="69" t="s">
        <v>306</v>
      </c>
      <c r="C157" s="69" t="s">
        <v>27</v>
      </c>
      <c r="D157" s="70" t="s">
        <v>307</v>
      </c>
      <c r="E157" s="60"/>
      <c r="F157" s="73">
        <f t="shared" si="68"/>
        <v>351.16999999999996</v>
      </c>
      <c r="G157" s="74">
        <v>0</v>
      </c>
      <c r="H157" s="74">
        <v>0</v>
      </c>
      <c r="I157" s="74">
        <v>0</v>
      </c>
      <c r="J157" s="74">
        <v>86.96</v>
      </c>
      <c r="K157" s="74">
        <v>0</v>
      </c>
      <c r="L157" s="74">
        <v>0</v>
      </c>
      <c r="M157" s="74">
        <v>0</v>
      </c>
      <c r="N157" s="74">
        <v>0</v>
      </c>
      <c r="O157" s="74">
        <v>43.38</v>
      </c>
      <c r="P157" s="74">
        <v>42.12</v>
      </c>
      <c r="Q157" s="74">
        <v>10.23</v>
      </c>
      <c r="R157" s="74">
        <v>168.48</v>
      </c>
      <c r="S157" s="29"/>
      <c r="Z157" s="72">
        <v>351.17</v>
      </c>
      <c r="AA157" s="45">
        <f t="shared" si="70"/>
        <v>0</v>
      </c>
      <c r="AG157" s="32">
        <f>340.94*1.03</f>
        <v>351.16820000000001</v>
      </c>
      <c r="AH157" s="51">
        <f t="shared" si="71"/>
        <v>-1.799999999946067E-3</v>
      </c>
      <c r="AI157" s="45">
        <f t="shared" si="69"/>
        <v>351.16999999999996</v>
      </c>
    </row>
    <row r="158" spans="2:35" x14ac:dyDescent="0.2">
      <c r="B158" s="69" t="s">
        <v>308</v>
      </c>
      <c r="C158" s="69" t="s">
        <v>27</v>
      </c>
      <c r="D158" s="70" t="s">
        <v>309</v>
      </c>
      <c r="E158" s="60"/>
      <c r="F158" s="73">
        <f t="shared" si="68"/>
        <v>5491.4699999999993</v>
      </c>
      <c r="G158" s="74">
        <v>0</v>
      </c>
      <c r="H158" s="74">
        <v>0</v>
      </c>
      <c r="I158" s="74">
        <v>0</v>
      </c>
      <c r="J158" s="74">
        <v>468.7</v>
      </c>
      <c r="K158" s="74">
        <v>0</v>
      </c>
      <c r="L158" s="74">
        <v>0</v>
      </c>
      <c r="M158" s="74">
        <v>0</v>
      </c>
      <c r="N158" s="74">
        <v>0</v>
      </c>
      <c r="O158" s="74">
        <v>159.94999999999999</v>
      </c>
      <c r="P158" s="74">
        <v>4862.82</v>
      </c>
      <c r="Q158" s="74">
        <v>0</v>
      </c>
      <c r="R158" s="74">
        <v>0</v>
      </c>
      <c r="S158" s="29"/>
      <c r="Z158" s="72">
        <v>5491.47</v>
      </c>
      <c r="AA158" s="45">
        <f t="shared" si="70"/>
        <v>0</v>
      </c>
      <c r="AG158" s="32">
        <f>5331.52*1.03</f>
        <v>5491.4656000000004</v>
      </c>
      <c r="AH158" s="51">
        <f t="shared" si="71"/>
        <v>-4.3999999988955096E-3</v>
      </c>
      <c r="AI158" s="45">
        <f t="shared" si="69"/>
        <v>5491.4699999999993</v>
      </c>
    </row>
    <row r="159" spans="2:35" x14ac:dyDescent="0.2">
      <c r="B159" s="69" t="s">
        <v>310</v>
      </c>
      <c r="C159" s="69" t="s">
        <v>27</v>
      </c>
      <c r="D159" s="70" t="s">
        <v>311</v>
      </c>
      <c r="E159" s="60"/>
      <c r="F159" s="73">
        <f t="shared" si="68"/>
        <v>113395.81999999998</v>
      </c>
      <c r="G159" s="74">
        <v>19538.77</v>
      </c>
      <c r="H159" s="74">
        <v>15434.08</v>
      </c>
      <c r="I159" s="74">
        <v>11713.91</v>
      </c>
      <c r="J159" s="74">
        <v>12496.56</v>
      </c>
      <c r="K159" s="74">
        <v>8205.65</v>
      </c>
      <c r="L159" s="74">
        <v>4905.22</v>
      </c>
      <c r="M159" s="74">
        <v>0</v>
      </c>
      <c r="N159" s="74">
        <v>3302.79</v>
      </c>
      <c r="O159" s="74">
        <v>24819.77</v>
      </c>
      <c r="P159" s="74">
        <v>2246.1799999999998</v>
      </c>
      <c r="Q159" s="74">
        <v>9981.3700000000008</v>
      </c>
      <c r="R159" s="74">
        <v>751.52</v>
      </c>
      <c r="S159" s="29"/>
      <c r="Z159" s="72">
        <v>113395.82</v>
      </c>
      <c r="AA159" s="45">
        <f t="shared" si="70"/>
        <v>0</v>
      </c>
      <c r="AG159" s="32">
        <f>110093.03*1.03</f>
        <v>113395.82090000001</v>
      </c>
      <c r="AH159" s="51">
        <f t="shared" si="71"/>
        <v>9.0000002819579095E-4</v>
      </c>
      <c r="AI159" s="45">
        <f t="shared" si="69"/>
        <v>113395.81999999998</v>
      </c>
    </row>
    <row r="160" spans="2:35" x14ac:dyDescent="0.2">
      <c r="B160" s="57" t="s">
        <v>312</v>
      </c>
      <c r="C160" s="57"/>
      <c r="D160" s="59" t="s">
        <v>313</v>
      </c>
      <c r="E160" s="60"/>
      <c r="F160" s="77">
        <f>+F161</f>
        <v>2280.7799999999997</v>
      </c>
      <c r="G160" s="78">
        <f t="shared" ref="G160:Z160" si="72">+G161</f>
        <v>0</v>
      </c>
      <c r="H160" s="78">
        <f t="shared" si="72"/>
        <v>0</v>
      </c>
      <c r="I160" s="78">
        <f t="shared" si="72"/>
        <v>0</v>
      </c>
      <c r="J160" s="78">
        <f t="shared" si="72"/>
        <v>0</v>
      </c>
      <c r="K160" s="78">
        <f t="shared" si="72"/>
        <v>0</v>
      </c>
      <c r="L160" s="78">
        <f t="shared" si="72"/>
        <v>0</v>
      </c>
      <c r="M160" s="78">
        <f t="shared" si="72"/>
        <v>0</v>
      </c>
      <c r="N160" s="78">
        <f t="shared" si="72"/>
        <v>0</v>
      </c>
      <c r="O160" s="78">
        <f t="shared" si="72"/>
        <v>66.430000000000007</v>
      </c>
      <c r="P160" s="78">
        <f t="shared" si="72"/>
        <v>0</v>
      </c>
      <c r="Q160" s="78">
        <f t="shared" si="72"/>
        <v>695.65</v>
      </c>
      <c r="R160" s="78">
        <f t="shared" si="72"/>
        <v>1518.7</v>
      </c>
      <c r="S160" s="29"/>
      <c r="Z160" s="48">
        <f t="shared" si="72"/>
        <v>2280.7800000000002</v>
      </c>
      <c r="AA160" s="45">
        <f t="shared" si="70"/>
        <v>0</v>
      </c>
      <c r="AH160" s="51">
        <f t="shared" si="71"/>
        <v>-2280.7799999999997</v>
      </c>
      <c r="AI160" s="45"/>
    </row>
    <row r="161" spans="2:35" x14ac:dyDescent="0.2">
      <c r="B161" s="69" t="s">
        <v>314</v>
      </c>
      <c r="C161" s="69" t="s">
        <v>233</v>
      </c>
      <c r="D161" s="70" t="s">
        <v>315</v>
      </c>
      <c r="E161" s="60"/>
      <c r="F161" s="73">
        <f>SUM(G161:R161)</f>
        <v>2280.7799999999997</v>
      </c>
      <c r="G161" s="74">
        <v>0</v>
      </c>
      <c r="H161" s="74">
        <v>0</v>
      </c>
      <c r="I161" s="74">
        <v>0</v>
      </c>
      <c r="J161" s="74">
        <v>0</v>
      </c>
      <c r="K161" s="74">
        <v>0</v>
      </c>
      <c r="L161" s="74">
        <v>0</v>
      </c>
      <c r="M161" s="74">
        <v>0</v>
      </c>
      <c r="N161" s="74">
        <v>0</v>
      </c>
      <c r="O161" s="74">
        <v>66.430000000000007</v>
      </c>
      <c r="P161" s="74">
        <v>0</v>
      </c>
      <c r="Q161" s="74">
        <v>695.65</v>
      </c>
      <c r="R161" s="74">
        <v>1518.7</v>
      </c>
      <c r="S161" s="29"/>
      <c r="Z161" s="72">
        <v>2280.7800000000002</v>
      </c>
      <c r="AA161" s="45">
        <f t="shared" si="70"/>
        <v>0</v>
      </c>
      <c r="AG161" s="32">
        <f>2214.35*1.03</f>
        <v>2280.7804999999998</v>
      </c>
      <c r="AH161" s="51">
        <f t="shared" si="71"/>
        <v>5.0000000010186341E-4</v>
      </c>
      <c r="AI161" s="45">
        <f>+F161</f>
        <v>2280.7799999999997</v>
      </c>
    </row>
    <row r="162" spans="2:35" x14ac:dyDescent="0.2">
      <c r="B162" s="91" t="s">
        <v>316</v>
      </c>
      <c r="C162" s="91"/>
      <c r="D162" s="59" t="s">
        <v>317</v>
      </c>
      <c r="E162" s="60"/>
      <c r="F162" s="77">
        <f>+F163</f>
        <v>12172.029999999999</v>
      </c>
      <c r="G162" s="78">
        <f t="shared" ref="G162:Z162" si="73">+G163</f>
        <v>2465.38</v>
      </c>
      <c r="H162" s="78">
        <f t="shared" si="73"/>
        <v>0</v>
      </c>
      <c r="I162" s="78">
        <f t="shared" si="73"/>
        <v>0</v>
      </c>
      <c r="J162" s="78">
        <f t="shared" si="73"/>
        <v>0</v>
      </c>
      <c r="K162" s="78">
        <f t="shared" si="73"/>
        <v>0</v>
      </c>
      <c r="L162" s="78">
        <f t="shared" si="73"/>
        <v>0</v>
      </c>
      <c r="M162" s="78">
        <f t="shared" si="73"/>
        <v>0</v>
      </c>
      <c r="N162" s="78">
        <f t="shared" si="73"/>
        <v>354.53</v>
      </c>
      <c r="O162" s="78">
        <f t="shared" si="73"/>
        <v>9352.119999999999</v>
      </c>
      <c r="P162" s="78">
        <f t="shared" si="73"/>
        <v>0</v>
      </c>
      <c r="Q162" s="78">
        <f t="shared" si="73"/>
        <v>0</v>
      </c>
      <c r="R162" s="78">
        <f t="shared" si="73"/>
        <v>0</v>
      </c>
      <c r="S162" s="29"/>
      <c r="Z162" s="48">
        <f t="shared" si="73"/>
        <v>12172.03</v>
      </c>
      <c r="AA162" s="45">
        <f t="shared" si="70"/>
        <v>0</v>
      </c>
      <c r="AH162" s="51">
        <f t="shared" si="71"/>
        <v>-12172.029999999999</v>
      </c>
      <c r="AI162" s="45"/>
    </row>
    <row r="163" spans="2:35" x14ac:dyDescent="0.2">
      <c r="B163" s="69" t="s">
        <v>318</v>
      </c>
      <c r="C163" s="69" t="s">
        <v>27</v>
      </c>
      <c r="D163" s="70" t="s">
        <v>319</v>
      </c>
      <c r="E163" s="60"/>
      <c r="F163" s="73">
        <f>SUM(G163:R163)</f>
        <v>12172.029999999999</v>
      </c>
      <c r="G163" s="74">
        <v>2465.38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  <c r="N163" s="74">
        <v>354.53</v>
      </c>
      <c r="O163" s="74">
        <f>514.59+4116.13+4721.4</f>
        <v>9352.119999999999</v>
      </c>
      <c r="P163" s="74">
        <v>0</v>
      </c>
      <c r="Q163" s="74">
        <v>0</v>
      </c>
      <c r="R163" s="74">
        <v>0</v>
      </c>
      <c r="S163" s="29"/>
      <c r="Z163" s="72">
        <v>12172.03</v>
      </c>
      <c r="AA163" s="45">
        <f t="shared" si="70"/>
        <v>0</v>
      </c>
      <c r="AG163" s="32">
        <f>11817.5*1.03</f>
        <v>12172.025</v>
      </c>
      <c r="AH163" s="51">
        <f t="shared" si="71"/>
        <v>-4.9999999991996447E-3</v>
      </c>
      <c r="AI163" s="45">
        <f>+F163</f>
        <v>12172.029999999999</v>
      </c>
    </row>
    <row r="164" spans="2:35" x14ac:dyDescent="0.2">
      <c r="B164" s="57" t="s">
        <v>320</v>
      </c>
      <c r="C164" s="57"/>
      <c r="D164" s="59" t="s">
        <v>321</v>
      </c>
      <c r="E164" s="60"/>
      <c r="F164" s="77">
        <f t="shared" ref="F164:R164" si="74">+F165+F175</f>
        <v>5448090.7100000009</v>
      </c>
      <c r="G164" s="78">
        <f t="shared" si="74"/>
        <v>474824.72</v>
      </c>
      <c r="H164" s="78">
        <f t="shared" si="74"/>
        <v>395971.32</v>
      </c>
      <c r="I164" s="78">
        <f t="shared" si="74"/>
        <v>441930.18999999994</v>
      </c>
      <c r="J164" s="78">
        <f t="shared" si="74"/>
        <v>492348.91000000003</v>
      </c>
      <c r="K164" s="78">
        <f t="shared" si="74"/>
        <v>544191.78000000014</v>
      </c>
      <c r="L164" s="78">
        <f t="shared" si="74"/>
        <v>544784.25</v>
      </c>
      <c r="M164" s="78">
        <f t="shared" si="74"/>
        <v>420994.2</v>
      </c>
      <c r="N164" s="78">
        <f t="shared" si="74"/>
        <v>426789.16</v>
      </c>
      <c r="O164" s="78">
        <f t="shared" si="74"/>
        <v>634396.99999999988</v>
      </c>
      <c r="P164" s="78">
        <f t="shared" si="74"/>
        <v>386588.36999999994</v>
      </c>
      <c r="Q164" s="78">
        <f t="shared" si="74"/>
        <v>317882.62999999995</v>
      </c>
      <c r="R164" s="78">
        <f t="shared" si="74"/>
        <v>367388.17999999993</v>
      </c>
      <c r="S164" s="29"/>
      <c r="Z164" s="48">
        <f>+Z165+Z175</f>
        <v>5448090.7100000009</v>
      </c>
      <c r="AA164" s="45">
        <f t="shared" si="70"/>
        <v>0</v>
      </c>
      <c r="AH164" s="51">
        <f t="shared" si="71"/>
        <v>-5448090.7100000009</v>
      </c>
      <c r="AI164" s="45"/>
    </row>
    <row r="165" spans="2:35" x14ac:dyDescent="0.2">
      <c r="B165" s="57" t="s">
        <v>322</v>
      </c>
      <c r="C165" s="57"/>
      <c r="D165" s="59" t="s">
        <v>323</v>
      </c>
      <c r="E165" s="60"/>
      <c r="F165" s="77">
        <f t="shared" ref="F165:R165" si="75">SUM(F166:F174)</f>
        <v>5448090.7100000009</v>
      </c>
      <c r="G165" s="78">
        <f t="shared" si="75"/>
        <v>474824.72</v>
      </c>
      <c r="H165" s="78">
        <f t="shared" si="75"/>
        <v>395971.32</v>
      </c>
      <c r="I165" s="78">
        <f t="shared" si="75"/>
        <v>441930.18999999994</v>
      </c>
      <c r="J165" s="78">
        <f t="shared" si="75"/>
        <v>492348.91000000003</v>
      </c>
      <c r="K165" s="78">
        <f t="shared" si="75"/>
        <v>544191.78000000014</v>
      </c>
      <c r="L165" s="78">
        <f t="shared" si="75"/>
        <v>544784.25</v>
      </c>
      <c r="M165" s="78">
        <f t="shared" si="75"/>
        <v>420994.2</v>
      </c>
      <c r="N165" s="78">
        <f t="shared" si="75"/>
        <v>426789.16</v>
      </c>
      <c r="O165" s="78">
        <f t="shared" si="75"/>
        <v>634396.99999999988</v>
      </c>
      <c r="P165" s="78">
        <f t="shared" si="75"/>
        <v>386588.36999999994</v>
      </c>
      <c r="Q165" s="78">
        <f t="shared" si="75"/>
        <v>317882.62999999995</v>
      </c>
      <c r="R165" s="78">
        <f t="shared" si="75"/>
        <v>367388.17999999993</v>
      </c>
      <c r="S165" s="29"/>
      <c r="Z165" s="48">
        <f>SUM(Z166:Z174)</f>
        <v>5448090.7100000009</v>
      </c>
      <c r="AA165" s="45">
        <f t="shared" si="70"/>
        <v>0</v>
      </c>
      <c r="AH165" s="51">
        <f t="shared" si="71"/>
        <v>-5448090.7100000009</v>
      </c>
      <c r="AI165" s="45"/>
    </row>
    <row r="166" spans="2:35" x14ac:dyDescent="0.2">
      <c r="B166" s="69" t="s">
        <v>324</v>
      </c>
      <c r="C166" s="69" t="s">
        <v>325</v>
      </c>
      <c r="D166" s="70" t="s">
        <v>326</v>
      </c>
      <c r="E166" s="60"/>
      <c r="F166" s="73">
        <f t="shared" ref="F166:F174" si="76">SUM(G166:R166)</f>
        <v>4481802.45</v>
      </c>
      <c r="G166" s="74">
        <v>386880.02</v>
      </c>
      <c r="H166" s="74">
        <v>323979.08</v>
      </c>
      <c r="I166" s="74">
        <v>352930.41</v>
      </c>
      <c r="J166" s="74">
        <v>404826.01</v>
      </c>
      <c r="K166" s="74">
        <v>448799.7</v>
      </c>
      <c r="L166" s="74">
        <v>451969.11</v>
      </c>
      <c r="M166" s="74">
        <v>415429.85</v>
      </c>
      <c r="N166" s="74">
        <v>403329.95</v>
      </c>
      <c r="O166" s="74">
        <v>400000</v>
      </c>
      <c r="P166" s="74">
        <v>324358.32</v>
      </c>
      <c r="Q166" s="74">
        <v>262300</v>
      </c>
      <c r="R166" s="74">
        <v>307000</v>
      </c>
      <c r="S166" s="29"/>
      <c r="Z166" s="75">
        <v>4481802.45</v>
      </c>
      <c r="AA166" s="45">
        <f t="shared" si="70"/>
        <v>0</v>
      </c>
      <c r="AG166" s="32">
        <f>4261182.22*1.03</f>
        <v>4389017.6865999997</v>
      </c>
      <c r="AH166" s="51">
        <f t="shared" si="71"/>
        <v>-92784.76340000052</v>
      </c>
      <c r="AI166" s="45">
        <f t="shared" ref="AI166:AI174" si="77">+F166</f>
        <v>4481802.45</v>
      </c>
    </row>
    <row r="167" spans="2:35" x14ac:dyDescent="0.2">
      <c r="B167" s="69" t="s">
        <v>327</v>
      </c>
      <c r="C167" s="69" t="s">
        <v>325</v>
      </c>
      <c r="D167" s="70" t="s">
        <v>328</v>
      </c>
      <c r="E167" s="60"/>
      <c r="F167" s="73">
        <f t="shared" si="76"/>
        <v>172296.2</v>
      </c>
      <c r="G167" s="74">
        <v>15552.61</v>
      </c>
      <c r="H167" s="74">
        <v>13738.52</v>
      </c>
      <c r="I167" s="74">
        <v>11207.74</v>
      </c>
      <c r="J167" s="74">
        <v>17353.919999999998</v>
      </c>
      <c r="K167" s="74">
        <v>14461.6</v>
      </c>
      <c r="L167" s="74">
        <v>14823.14</v>
      </c>
      <c r="M167" s="74">
        <v>5018.34</v>
      </c>
      <c r="N167" s="74">
        <v>769.24</v>
      </c>
      <c r="O167" s="74">
        <v>46277.120000000003</v>
      </c>
      <c r="P167" s="74">
        <v>13455.79</v>
      </c>
      <c r="Q167" s="74">
        <v>11637.44</v>
      </c>
      <c r="R167" s="74">
        <v>8000.74</v>
      </c>
      <c r="S167" s="29"/>
      <c r="Z167" s="72">
        <v>172296.2</v>
      </c>
      <c r="AA167" s="45">
        <f t="shared" si="70"/>
        <v>0</v>
      </c>
      <c r="AG167" s="32">
        <f>167277.86*1.03</f>
        <v>172296.19579999999</v>
      </c>
      <c r="AH167" s="51">
        <f t="shared" si="71"/>
        <v>-4.2000000248663127E-3</v>
      </c>
      <c r="AI167" s="45">
        <f t="shared" si="77"/>
        <v>172296.2</v>
      </c>
    </row>
    <row r="168" spans="2:35" x14ac:dyDescent="0.2">
      <c r="B168" s="69" t="s">
        <v>329</v>
      </c>
      <c r="C168" s="69" t="s">
        <v>325</v>
      </c>
      <c r="D168" s="70" t="s">
        <v>330</v>
      </c>
      <c r="E168" s="60"/>
      <c r="F168" s="73">
        <f t="shared" si="76"/>
        <v>433405.54</v>
      </c>
      <c r="G168" s="74">
        <v>39461.129999999997</v>
      </c>
      <c r="H168" s="74">
        <v>24922.799999999999</v>
      </c>
      <c r="I168" s="74">
        <v>39045.72</v>
      </c>
      <c r="J168" s="74">
        <v>38630.339999999997</v>
      </c>
      <c r="K168" s="74">
        <v>40707.24</v>
      </c>
      <c r="L168" s="74">
        <v>40707.24</v>
      </c>
      <c r="M168" s="74">
        <v>0</v>
      </c>
      <c r="N168" s="74">
        <v>12623.46</v>
      </c>
      <c r="O168" s="74">
        <v>109660.32</v>
      </c>
      <c r="P168" s="74">
        <v>29077.3</v>
      </c>
      <c r="Q168" s="74">
        <v>22015.67</v>
      </c>
      <c r="R168" s="74">
        <v>36554.32</v>
      </c>
      <c r="S168" s="29"/>
      <c r="Z168" s="72">
        <v>433405.54</v>
      </c>
      <c r="AA168" s="45">
        <f t="shared" si="70"/>
        <v>0</v>
      </c>
      <c r="AG168" s="32">
        <f>420782.08*1.03</f>
        <v>433405.54240000003</v>
      </c>
      <c r="AH168" s="51">
        <f t="shared" si="71"/>
        <v>2.4000000557862222E-3</v>
      </c>
      <c r="AI168" s="45">
        <f t="shared" si="77"/>
        <v>433405.54</v>
      </c>
    </row>
    <row r="169" spans="2:35" x14ac:dyDescent="0.2">
      <c r="B169" s="69" t="s">
        <v>331</v>
      </c>
      <c r="C169" s="69" t="s">
        <v>325</v>
      </c>
      <c r="D169" s="70" t="s">
        <v>332</v>
      </c>
      <c r="E169" s="60"/>
      <c r="F169" s="73">
        <f t="shared" si="76"/>
        <v>37793.75</v>
      </c>
      <c r="G169" s="74">
        <v>4153.92</v>
      </c>
      <c r="H169" s="74">
        <v>3807.76</v>
      </c>
      <c r="I169" s="74">
        <v>3461.6</v>
      </c>
      <c r="J169" s="74">
        <v>4153.92</v>
      </c>
      <c r="K169" s="74">
        <v>3807.76</v>
      </c>
      <c r="L169" s="74">
        <v>3461.6</v>
      </c>
      <c r="M169" s="74">
        <v>0</v>
      </c>
      <c r="N169" s="74">
        <v>1100.79</v>
      </c>
      <c r="O169" s="74">
        <v>4846.24</v>
      </c>
      <c r="P169" s="74">
        <v>3807.76</v>
      </c>
      <c r="Q169" s="74">
        <v>1730.8</v>
      </c>
      <c r="R169" s="74">
        <v>3461.6</v>
      </c>
      <c r="S169" s="29"/>
      <c r="Z169" s="72">
        <v>37793.75</v>
      </c>
      <c r="AA169" s="45">
        <f t="shared" si="70"/>
        <v>0</v>
      </c>
      <c r="AG169" s="32">
        <f>36692.96*1.03</f>
        <v>37793.748800000001</v>
      </c>
      <c r="AH169" s="51">
        <f t="shared" si="71"/>
        <v>-1.1999999987892807E-3</v>
      </c>
      <c r="AI169" s="45">
        <f t="shared" si="77"/>
        <v>37793.75</v>
      </c>
    </row>
    <row r="170" spans="2:35" x14ac:dyDescent="0.2">
      <c r="B170" s="69" t="s">
        <v>333</v>
      </c>
      <c r="C170" s="69" t="s">
        <v>325</v>
      </c>
      <c r="D170" s="70" t="s">
        <v>334</v>
      </c>
      <c r="E170" s="60"/>
      <c r="F170" s="73">
        <f t="shared" si="76"/>
        <v>213828</v>
      </c>
      <c r="G170" s="74">
        <v>16000</v>
      </c>
      <c r="H170" s="74">
        <v>19600</v>
      </c>
      <c r="I170" s="74">
        <v>25200</v>
      </c>
      <c r="J170" s="74">
        <v>20000</v>
      </c>
      <c r="K170" s="74">
        <v>26000</v>
      </c>
      <c r="L170" s="74">
        <v>24400</v>
      </c>
      <c r="M170" s="74">
        <v>0</v>
      </c>
      <c r="N170" s="74">
        <v>6228</v>
      </c>
      <c r="O170" s="74">
        <v>47200</v>
      </c>
      <c r="P170" s="74">
        <v>9200</v>
      </c>
      <c r="Q170" s="74">
        <v>12000</v>
      </c>
      <c r="R170" s="74">
        <v>8000</v>
      </c>
      <c r="S170" s="29"/>
      <c r="Z170" s="72">
        <v>213828</v>
      </c>
      <c r="AA170" s="45">
        <f t="shared" si="70"/>
        <v>0</v>
      </c>
      <c r="AG170" s="32">
        <f>207600*1.03</f>
        <v>213828</v>
      </c>
      <c r="AH170" s="51">
        <f t="shared" si="71"/>
        <v>0</v>
      </c>
      <c r="AI170" s="45">
        <f t="shared" si="77"/>
        <v>213828</v>
      </c>
    </row>
    <row r="171" spans="2:35" x14ac:dyDescent="0.2">
      <c r="B171" s="69" t="s">
        <v>335</v>
      </c>
      <c r="C171" s="69" t="s">
        <v>325</v>
      </c>
      <c r="D171" s="70" t="s">
        <v>336</v>
      </c>
      <c r="E171" s="60"/>
      <c r="F171" s="73">
        <f t="shared" si="76"/>
        <v>18746.329999999998</v>
      </c>
      <c r="G171" s="74">
        <v>2423.12</v>
      </c>
      <c r="H171" s="74">
        <v>1038.48</v>
      </c>
      <c r="I171" s="74">
        <v>2423.12</v>
      </c>
      <c r="J171" s="74">
        <v>2076.96</v>
      </c>
      <c r="K171" s="74">
        <v>1730.8</v>
      </c>
      <c r="L171" s="74">
        <v>1384.64</v>
      </c>
      <c r="M171" s="74">
        <v>546.01</v>
      </c>
      <c r="N171" s="74">
        <v>200</v>
      </c>
      <c r="O171" s="74">
        <v>3115.44</v>
      </c>
      <c r="P171" s="74">
        <v>1038.48</v>
      </c>
      <c r="Q171" s="74">
        <v>2423.12</v>
      </c>
      <c r="R171" s="74">
        <v>346.16</v>
      </c>
      <c r="S171" s="29"/>
      <c r="Z171" s="72">
        <v>18746.330000000002</v>
      </c>
      <c r="AA171" s="45">
        <f t="shared" si="70"/>
        <v>0</v>
      </c>
      <c r="AG171" s="32">
        <f>18200.32*1.03</f>
        <v>18746.329600000001</v>
      </c>
      <c r="AH171" s="51">
        <f t="shared" si="71"/>
        <v>-3.9999999717110768E-4</v>
      </c>
      <c r="AI171" s="45">
        <f t="shared" si="77"/>
        <v>18746.329999999998</v>
      </c>
    </row>
    <row r="172" spans="2:35" x14ac:dyDescent="0.2">
      <c r="B172" s="69" t="s">
        <v>337</v>
      </c>
      <c r="C172" s="69" t="s">
        <v>325</v>
      </c>
      <c r="D172" s="70" t="s">
        <v>338</v>
      </c>
      <c r="E172" s="60"/>
      <c r="F172" s="73">
        <f t="shared" si="76"/>
        <v>53344.44</v>
      </c>
      <c r="G172" s="74">
        <v>5353.92</v>
      </c>
      <c r="H172" s="74">
        <v>4684.68</v>
      </c>
      <c r="I172" s="74">
        <v>4461.6000000000004</v>
      </c>
      <c r="J172" s="74">
        <v>4907.76</v>
      </c>
      <c r="K172" s="74">
        <v>4684.68</v>
      </c>
      <c r="L172" s="74">
        <v>4638.5200000000004</v>
      </c>
      <c r="M172" s="74">
        <v>0</v>
      </c>
      <c r="N172" s="74">
        <v>1553.72</v>
      </c>
      <c r="O172" s="74">
        <v>13607.88</v>
      </c>
      <c r="P172" s="74">
        <v>4050.72</v>
      </c>
      <c r="Q172" s="74">
        <v>3375.6</v>
      </c>
      <c r="R172" s="74">
        <v>2025.36</v>
      </c>
      <c r="S172" s="29"/>
      <c r="Z172" s="72">
        <v>53344.44</v>
      </c>
      <c r="AA172" s="45">
        <f t="shared" si="70"/>
        <v>0</v>
      </c>
      <c r="AG172" s="32">
        <f>51790.72*1.03</f>
        <v>53344.441600000006</v>
      </c>
      <c r="AH172" s="51">
        <f t="shared" si="71"/>
        <v>1.6000000032363459E-3</v>
      </c>
      <c r="AI172" s="45">
        <f t="shared" si="77"/>
        <v>53344.44</v>
      </c>
    </row>
    <row r="173" spans="2:35" x14ac:dyDescent="0.2">
      <c r="B173" s="69" t="s">
        <v>339</v>
      </c>
      <c r="C173" s="69" t="s">
        <v>325</v>
      </c>
      <c r="D173" s="70" t="s">
        <v>340</v>
      </c>
      <c r="E173" s="60"/>
      <c r="F173" s="73">
        <f t="shared" si="76"/>
        <v>3090</v>
      </c>
      <c r="G173" s="74">
        <v>600</v>
      </c>
      <c r="H173" s="74">
        <v>600</v>
      </c>
      <c r="I173" s="74">
        <v>200</v>
      </c>
      <c r="J173" s="74">
        <v>400</v>
      </c>
      <c r="K173" s="74">
        <v>0</v>
      </c>
      <c r="L173" s="74">
        <v>0</v>
      </c>
      <c r="M173" s="74">
        <v>0</v>
      </c>
      <c r="N173" s="74">
        <v>0</v>
      </c>
      <c r="O173" s="74">
        <v>890</v>
      </c>
      <c r="P173" s="74">
        <v>0</v>
      </c>
      <c r="Q173" s="74">
        <v>200</v>
      </c>
      <c r="R173" s="74">
        <v>200</v>
      </c>
      <c r="S173" s="29"/>
      <c r="Z173" s="72">
        <v>3090</v>
      </c>
      <c r="AA173" s="45">
        <f t="shared" si="70"/>
        <v>0</v>
      </c>
      <c r="AG173" s="32">
        <f>3000*1.03</f>
        <v>3090</v>
      </c>
      <c r="AH173" s="51">
        <f t="shared" si="71"/>
        <v>0</v>
      </c>
      <c r="AI173" s="45">
        <f t="shared" si="77"/>
        <v>3090</v>
      </c>
    </row>
    <row r="174" spans="2:35" x14ac:dyDescent="0.2">
      <c r="B174" s="69" t="s">
        <v>341</v>
      </c>
      <c r="C174" s="69" t="s">
        <v>325</v>
      </c>
      <c r="D174" s="70" t="s">
        <v>342</v>
      </c>
      <c r="E174" s="60"/>
      <c r="F174" s="73">
        <f t="shared" si="76"/>
        <v>33784</v>
      </c>
      <c r="G174" s="74">
        <v>4400</v>
      </c>
      <c r="H174" s="74">
        <v>3600</v>
      </c>
      <c r="I174" s="74">
        <v>3000</v>
      </c>
      <c r="J174" s="74">
        <v>0</v>
      </c>
      <c r="K174" s="74">
        <v>4000</v>
      </c>
      <c r="L174" s="74">
        <v>3400</v>
      </c>
      <c r="M174" s="74">
        <v>0</v>
      </c>
      <c r="N174" s="74">
        <v>984</v>
      </c>
      <c r="O174" s="74">
        <v>8800</v>
      </c>
      <c r="P174" s="74">
        <v>1600</v>
      </c>
      <c r="Q174" s="74">
        <v>2200</v>
      </c>
      <c r="R174" s="74">
        <v>1800</v>
      </c>
      <c r="S174" s="29"/>
      <c r="Z174" s="72">
        <v>33784</v>
      </c>
      <c r="AA174" s="45">
        <f t="shared" si="70"/>
        <v>0</v>
      </c>
      <c r="AG174" s="32">
        <f>32800*1.03</f>
        <v>33784</v>
      </c>
      <c r="AH174" s="51">
        <f t="shared" si="71"/>
        <v>0</v>
      </c>
      <c r="AI174" s="45">
        <f t="shared" si="77"/>
        <v>33784</v>
      </c>
    </row>
    <row r="175" spans="2:35" x14ac:dyDescent="0.2">
      <c r="B175" s="57" t="s">
        <v>343</v>
      </c>
      <c r="C175" s="57"/>
      <c r="D175" s="59" t="s">
        <v>344</v>
      </c>
      <c r="E175" s="60"/>
      <c r="F175" s="77">
        <f>SUM(F176:F180)</f>
        <v>0</v>
      </c>
      <c r="G175" s="78">
        <f t="shared" ref="G175:S175" si="78">SUM(G176:G180)</f>
        <v>0</v>
      </c>
      <c r="H175" s="78">
        <f t="shared" si="78"/>
        <v>0</v>
      </c>
      <c r="I175" s="78">
        <f t="shared" si="78"/>
        <v>0</v>
      </c>
      <c r="J175" s="78">
        <f t="shared" si="78"/>
        <v>0</v>
      </c>
      <c r="K175" s="78">
        <f t="shared" si="78"/>
        <v>0</v>
      </c>
      <c r="L175" s="78">
        <f t="shared" si="78"/>
        <v>0</v>
      </c>
      <c r="M175" s="78">
        <f t="shared" si="78"/>
        <v>0</v>
      </c>
      <c r="N175" s="78">
        <f t="shared" si="78"/>
        <v>0</v>
      </c>
      <c r="O175" s="78">
        <f t="shared" si="78"/>
        <v>0</v>
      </c>
      <c r="P175" s="78">
        <f t="shared" si="78"/>
        <v>0</v>
      </c>
      <c r="Q175" s="78">
        <f t="shared" si="78"/>
        <v>0</v>
      </c>
      <c r="R175" s="78">
        <f t="shared" si="78"/>
        <v>0</v>
      </c>
      <c r="S175" s="81">
        <f t="shared" si="78"/>
        <v>0</v>
      </c>
      <c r="T175" s="81"/>
      <c r="U175" s="81"/>
      <c r="V175" s="81"/>
      <c r="W175" s="81"/>
      <c r="X175" s="81"/>
      <c r="Y175" s="81"/>
      <c r="Z175" s="48">
        <f t="shared" ref="Z175" si="79">SUM(Z176:Z180)</f>
        <v>0</v>
      </c>
      <c r="AA175" s="45">
        <f t="shared" si="70"/>
        <v>0</v>
      </c>
      <c r="AB175" s="82"/>
      <c r="AC175" s="82"/>
      <c r="AD175" s="82"/>
      <c r="AE175" s="82"/>
      <c r="AF175" s="82"/>
      <c r="AG175" s="32">
        <f>76685.29*1.03</f>
        <v>78985.848700000002</v>
      </c>
      <c r="AH175" s="51">
        <f t="shared" si="71"/>
        <v>78985.848700000002</v>
      </c>
      <c r="AI175" s="45"/>
    </row>
    <row r="176" spans="2:35" x14ac:dyDescent="0.2">
      <c r="B176" s="69" t="s">
        <v>345</v>
      </c>
      <c r="C176" s="69" t="s">
        <v>325</v>
      </c>
      <c r="D176" s="70" t="s">
        <v>346</v>
      </c>
      <c r="E176" s="60"/>
      <c r="F176" s="73">
        <f>SUM(G176:R176)</f>
        <v>0</v>
      </c>
      <c r="G176" s="74">
        <v>0</v>
      </c>
      <c r="H176" s="74">
        <v>0</v>
      </c>
      <c r="I176" s="74">
        <v>0</v>
      </c>
      <c r="J176" s="74">
        <v>0</v>
      </c>
      <c r="K176" s="74">
        <v>0</v>
      </c>
      <c r="L176" s="74">
        <v>0</v>
      </c>
      <c r="M176" s="74">
        <v>0</v>
      </c>
      <c r="N176" s="74">
        <v>0</v>
      </c>
      <c r="O176" s="74">
        <v>0</v>
      </c>
      <c r="P176" s="74">
        <v>0</v>
      </c>
      <c r="Q176" s="74">
        <v>0</v>
      </c>
      <c r="R176" s="74">
        <v>0</v>
      </c>
      <c r="S176" s="29"/>
      <c r="Z176" s="72">
        <v>0</v>
      </c>
      <c r="AA176" s="45">
        <f t="shared" si="70"/>
        <v>0</v>
      </c>
      <c r="AH176" s="51">
        <f t="shared" si="71"/>
        <v>0</v>
      </c>
      <c r="AI176" s="45">
        <f>+F176</f>
        <v>0</v>
      </c>
    </row>
    <row r="177" spans="2:35" x14ac:dyDescent="0.2">
      <c r="B177" s="69" t="s">
        <v>347</v>
      </c>
      <c r="C177" s="69" t="s">
        <v>325</v>
      </c>
      <c r="D177" s="70" t="s">
        <v>348</v>
      </c>
      <c r="E177" s="60"/>
      <c r="F177" s="73">
        <f>SUM(G177:R177)</f>
        <v>0</v>
      </c>
      <c r="G177" s="74">
        <v>0</v>
      </c>
      <c r="H177" s="74">
        <v>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29"/>
      <c r="Z177" s="72">
        <v>0</v>
      </c>
      <c r="AA177" s="45">
        <f t="shared" si="70"/>
        <v>0</v>
      </c>
      <c r="AH177" s="51">
        <f t="shared" si="71"/>
        <v>0</v>
      </c>
      <c r="AI177" s="45">
        <f>+F177</f>
        <v>0</v>
      </c>
    </row>
    <row r="178" spans="2:35" x14ac:dyDescent="0.2">
      <c r="B178" s="69" t="s">
        <v>349</v>
      </c>
      <c r="C178" s="69" t="s">
        <v>325</v>
      </c>
      <c r="D178" s="70" t="s">
        <v>350</v>
      </c>
      <c r="E178" s="60"/>
      <c r="F178" s="73">
        <f>SUM(G178:R178)</f>
        <v>0</v>
      </c>
      <c r="G178" s="74">
        <v>0</v>
      </c>
      <c r="H178" s="74">
        <v>0</v>
      </c>
      <c r="I178" s="74">
        <v>0</v>
      </c>
      <c r="J178" s="74">
        <v>0</v>
      </c>
      <c r="K178" s="74">
        <v>0</v>
      </c>
      <c r="L178" s="74">
        <v>0</v>
      </c>
      <c r="M178" s="74">
        <v>0</v>
      </c>
      <c r="N178" s="74">
        <v>0</v>
      </c>
      <c r="O178" s="74">
        <v>0</v>
      </c>
      <c r="P178" s="74">
        <v>0</v>
      </c>
      <c r="Q178" s="74">
        <v>0</v>
      </c>
      <c r="R178" s="74">
        <v>0</v>
      </c>
      <c r="S178" s="29"/>
      <c r="Z178" s="72">
        <v>0</v>
      </c>
      <c r="AA178" s="45">
        <f t="shared" si="70"/>
        <v>0</v>
      </c>
      <c r="AH178" s="51">
        <f t="shared" si="71"/>
        <v>0</v>
      </c>
      <c r="AI178" s="45">
        <f>+F178</f>
        <v>0</v>
      </c>
    </row>
    <row r="179" spans="2:35" x14ac:dyDescent="0.2">
      <c r="B179" s="69" t="s">
        <v>351</v>
      </c>
      <c r="C179" s="69" t="s">
        <v>325</v>
      </c>
      <c r="D179" s="70" t="s">
        <v>352</v>
      </c>
      <c r="E179" s="60"/>
      <c r="F179" s="73">
        <f>SUM(G179:R179)</f>
        <v>0</v>
      </c>
      <c r="G179" s="74">
        <v>0</v>
      </c>
      <c r="H179" s="74">
        <v>0</v>
      </c>
      <c r="I179" s="74">
        <v>0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74">
        <v>0</v>
      </c>
      <c r="P179" s="74">
        <v>0</v>
      </c>
      <c r="Q179" s="74">
        <v>0</v>
      </c>
      <c r="R179" s="74">
        <v>0</v>
      </c>
      <c r="S179" s="29"/>
      <c r="Z179" s="72">
        <v>0</v>
      </c>
      <c r="AA179" s="45">
        <f t="shared" si="70"/>
        <v>0</v>
      </c>
      <c r="AH179" s="51">
        <f t="shared" si="71"/>
        <v>0</v>
      </c>
      <c r="AI179" s="45">
        <f>+F179</f>
        <v>0</v>
      </c>
    </row>
    <row r="180" spans="2:35" x14ac:dyDescent="0.2">
      <c r="B180" s="69" t="s">
        <v>353</v>
      </c>
      <c r="C180" s="69" t="s">
        <v>325</v>
      </c>
      <c r="D180" s="70" t="s">
        <v>354</v>
      </c>
      <c r="E180" s="60"/>
      <c r="F180" s="73">
        <f>SUM(G180:R180)</f>
        <v>0</v>
      </c>
      <c r="G180" s="74">
        <v>0</v>
      </c>
      <c r="H180" s="74">
        <v>0</v>
      </c>
      <c r="I180" s="74">
        <v>0</v>
      </c>
      <c r="J180" s="74">
        <v>0</v>
      </c>
      <c r="K180" s="74">
        <v>0</v>
      </c>
      <c r="L180" s="74">
        <v>0</v>
      </c>
      <c r="M180" s="74">
        <v>0</v>
      </c>
      <c r="N180" s="74">
        <v>0</v>
      </c>
      <c r="O180" s="74">
        <v>0</v>
      </c>
      <c r="P180" s="74">
        <v>0</v>
      </c>
      <c r="Q180" s="74">
        <v>0</v>
      </c>
      <c r="R180" s="74">
        <v>0</v>
      </c>
      <c r="S180" s="29"/>
      <c r="Z180" s="72">
        <v>0</v>
      </c>
      <c r="AA180" s="45">
        <f t="shared" si="70"/>
        <v>0</v>
      </c>
      <c r="AH180" s="51">
        <f t="shared" si="71"/>
        <v>0</v>
      </c>
      <c r="AI180" s="45">
        <f>+F180</f>
        <v>0</v>
      </c>
    </row>
    <row r="181" spans="2:35" x14ac:dyDescent="0.2">
      <c r="B181" s="57" t="s">
        <v>355</v>
      </c>
      <c r="C181" s="57"/>
      <c r="D181" s="59" t="s">
        <v>356</v>
      </c>
      <c r="E181" s="60"/>
      <c r="F181" s="77">
        <f>+F182+F188+F193</f>
        <v>49886.559999999998</v>
      </c>
      <c r="G181" s="78">
        <f t="shared" ref="G181:R181" si="80">+G182+G188+G193</f>
        <v>26645.309999999998</v>
      </c>
      <c r="H181" s="78">
        <f t="shared" si="80"/>
        <v>3671.1299999999997</v>
      </c>
      <c r="I181" s="78">
        <f t="shared" si="80"/>
        <v>8601.0299999999988</v>
      </c>
      <c r="J181" s="78">
        <f t="shared" si="80"/>
        <v>0</v>
      </c>
      <c r="K181" s="78">
        <f t="shared" si="80"/>
        <v>0</v>
      </c>
      <c r="L181" s="78">
        <f t="shared" si="80"/>
        <v>1922.6</v>
      </c>
      <c r="M181" s="78">
        <f t="shared" si="80"/>
        <v>0</v>
      </c>
      <c r="N181" s="78">
        <f t="shared" si="80"/>
        <v>378.05</v>
      </c>
      <c r="O181" s="78">
        <f t="shared" si="80"/>
        <v>737.77</v>
      </c>
      <c r="P181" s="78">
        <f t="shared" si="80"/>
        <v>1547.15</v>
      </c>
      <c r="Q181" s="78">
        <f t="shared" si="80"/>
        <v>2588.34</v>
      </c>
      <c r="R181" s="78">
        <f t="shared" si="80"/>
        <v>3795.18</v>
      </c>
      <c r="S181" s="29"/>
      <c r="Z181" s="48">
        <f t="shared" ref="Z181" si="81">+Z182+Z188+Z193</f>
        <v>49886.559999999998</v>
      </c>
      <c r="AA181" s="45">
        <f t="shared" si="70"/>
        <v>0</v>
      </c>
      <c r="AH181" s="51">
        <f t="shared" si="71"/>
        <v>-49886.559999999998</v>
      </c>
      <c r="AI181" s="45"/>
    </row>
    <row r="182" spans="2:35" x14ac:dyDescent="0.2">
      <c r="B182" s="57" t="s">
        <v>357</v>
      </c>
      <c r="C182" s="57"/>
      <c r="D182" s="59" t="s">
        <v>358</v>
      </c>
      <c r="E182" s="60"/>
      <c r="F182" s="77">
        <f>SUM(F183:F187)</f>
        <v>27671.07</v>
      </c>
      <c r="G182" s="78">
        <f t="shared" ref="G182:R182" si="82">SUM(G183:G187)</f>
        <v>16185.9</v>
      </c>
      <c r="H182" s="78">
        <f t="shared" si="82"/>
        <v>2816.7299999999996</v>
      </c>
      <c r="I182" s="78">
        <f t="shared" si="82"/>
        <v>0</v>
      </c>
      <c r="J182" s="78">
        <f t="shared" si="82"/>
        <v>0</v>
      </c>
      <c r="K182" s="78">
        <f t="shared" si="82"/>
        <v>0</v>
      </c>
      <c r="L182" s="78">
        <f t="shared" si="82"/>
        <v>0</v>
      </c>
      <c r="M182" s="78">
        <f t="shared" si="82"/>
        <v>0</v>
      </c>
      <c r="N182" s="78">
        <f t="shared" si="82"/>
        <v>0</v>
      </c>
      <c r="O182" s="78">
        <f t="shared" si="82"/>
        <v>737.77</v>
      </c>
      <c r="P182" s="78">
        <f t="shared" si="82"/>
        <v>1547.15</v>
      </c>
      <c r="Q182" s="78">
        <f t="shared" si="82"/>
        <v>2588.34</v>
      </c>
      <c r="R182" s="78">
        <f t="shared" si="82"/>
        <v>3795.18</v>
      </c>
      <c r="S182" s="29"/>
      <c r="Z182" s="48">
        <f t="shared" ref="Z182" si="83">SUM(Z183:Z187)</f>
        <v>27671.070000000003</v>
      </c>
      <c r="AA182" s="45">
        <f t="shared" si="70"/>
        <v>0</v>
      </c>
      <c r="AH182" s="51">
        <f t="shared" si="71"/>
        <v>-27671.07</v>
      </c>
      <c r="AI182" s="45"/>
    </row>
    <row r="183" spans="2:35" x14ac:dyDescent="0.2">
      <c r="B183" s="69" t="s">
        <v>359</v>
      </c>
      <c r="C183" s="69" t="s">
        <v>27</v>
      </c>
      <c r="D183" s="70" t="s">
        <v>360</v>
      </c>
      <c r="E183" s="60"/>
      <c r="F183" s="73">
        <f>SUM(G183:R183)</f>
        <v>12374.17</v>
      </c>
      <c r="G183" s="74">
        <v>3491.66</v>
      </c>
      <c r="H183" s="74">
        <v>591.42999999999995</v>
      </c>
      <c r="I183" s="74">
        <v>0</v>
      </c>
      <c r="J183" s="74">
        <v>0</v>
      </c>
      <c r="K183" s="74">
        <v>0</v>
      </c>
      <c r="L183" s="74">
        <v>0</v>
      </c>
      <c r="M183" s="74">
        <v>0</v>
      </c>
      <c r="N183" s="74">
        <v>0</v>
      </c>
      <c r="O183" s="74">
        <v>360.41</v>
      </c>
      <c r="P183" s="74">
        <v>1547.15</v>
      </c>
      <c r="Q183" s="74">
        <v>2588.34</v>
      </c>
      <c r="R183" s="74">
        <v>3795.18</v>
      </c>
      <c r="S183" s="29"/>
      <c r="Z183" s="72">
        <v>12374.17</v>
      </c>
      <c r="AA183" s="45">
        <f t="shared" si="70"/>
        <v>0</v>
      </c>
      <c r="AG183" s="32">
        <f>12013.76*1.03</f>
        <v>12374.1728</v>
      </c>
      <c r="AH183" s="51">
        <f t="shared" si="71"/>
        <v>2.8000000002066372E-3</v>
      </c>
      <c r="AI183" s="45">
        <f>+F183</f>
        <v>12374.17</v>
      </c>
    </row>
    <row r="184" spans="2:35" x14ac:dyDescent="0.2">
      <c r="B184" s="69" t="s">
        <v>361</v>
      </c>
      <c r="C184" s="69" t="s">
        <v>27</v>
      </c>
      <c r="D184" s="70" t="s">
        <v>362</v>
      </c>
      <c r="E184" s="60"/>
      <c r="F184" s="73">
        <f>SUM(G184:R184)</f>
        <v>286.53000000000003</v>
      </c>
      <c r="G184" s="74">
        <f>278.18+8.35</f>
        <v>286.53000000000003</v>
      </c>
      <c r="H184" s="74">
        <v>0</v>
      </c>
      <c r="I184" s="74">
        <v>0</v>
      </c>
      <c r="J184" s="74">
        <v>0</v>
      </c>
      <c r="K184" s="74">
        <v>0</v>
      </c>
      <c r="L184" s="74">
        <v>0</v>
      </c>
      <c r="M184" s="74">
        <v>0</v>
      </c>
      <c r="N184" s="74">
        <v>0</v>
      </c>
      <c r="O184" s="74">
        <v>0</v>
      </c>
      <c r="P184" s="74">
        <v>0</v>
      </c>
      <c r="Q184" s="74">
        <v>0</v>
      </c>
      <c r="R184" s="74">
        <v>0</v>
      </c>
      <c r="S184" s="29"/>
      <c r="Z184" s="72">
        <v>286.52999999999997</v>
      </c>
      <c r="AA184" s="45">
        <f t="shared" si="70"/>
        <v>0</v>
      </c>
      <c r="AG184" s="32">
        <f>278.18*1.03</f>
        <v>286.52539999999999</v>
      </c>
      <c r="AH184" s="51">
        <f t="shared" si="71"/>
        <v>-4.6000000000390173E-3</v>
      </c>
      <c r="AI184" s="45">
        <f>+F184</f>
        <v>286.53000000000003</v>
      </c>
    </row>
    <row r="185" spans="2:35" x14ac:dyDescent="0.2">
      <c r="B185" s="69" t="s">
        <v>363</v>
      </c>
      <c r="C185" s="69" t="s">
        <v>27</v>
      </c>
      <c r="D185" s="70" t="s">
        <v>364</v>
      </c>
      <c r="E185" s="60"/>
      <c r="F185" s="73">
        <f>SUM(G185:R185)</f>
        <v>12956.029999999999</v>
      </c>
      <c r="G185" s="74">
        <v>10928.3</v>
      </c>
      <c r="H185" s="74">
        <v>1650.37</v>
      </c>
      <c r="I185" s="74">
        <v>0</v>
      </c>
      <c r="J185" s="74">
        <v>0</v>
      </c>
      <c r="K185" s="74">
        <v>0</v>
      </c>
      <c r="L185" s="74">
        <v>0</v>
      </c>
      <c r="M185" s="74">
        <v>0</v>
      </c>
      <c r="N185" s="74">
        <v>0</v>
      </c>
      <c r="O185" s="74">
        <v>377.36</v>
      </c>
      <c r="P185" s="74">
        <v>0</v>
      </c>
      <c r="Q185" s="74">
        <v>0</v>
      </c>
      <c r="R185" s="74">
        <v>0</v>
      </c>
      <c r="S185" s="29"/>
      <c r="Z185" s="72">
        <v>12956.03</v>
      </c>
      <c r="AA185" s="45">
        <f t="shared" si="70"/>
        <v>0</v>
      </c>
      <c r="AG185" s="32">
        <f>12578.67*1.03</f>
        <v>12956.0301</v>
      </c>
      <c r="AH185" s="51">
        <f t="shared" si="71"/>
        <v>1.0000000111176632E-4</v>
      </c>
      <c r="AI185" s="45">
        <f>+F185</f>
        <v>12956.029999999999</v>
      </c>
    </row>
    <row r="186" spans="2:35" x14ac:dyDescent="0.2">
      <c r="B186" s="69" t="s">
        <v>365</v>
      </c>
      <c r="C186" s="69" t="s">
        <v>27</v>
      </c>
      <c r="D186" s="70" t="s">
        <v>366</v>
      </c>
      <c r="E186" s="60"/>
      <c r="F186" s="73">
        <f>SUM(G186:R186)</f>
        <v>574.92999999999995</v>
      </c>
      <c r="G186" s="74">
        <v>0</v>
      </c>
      <c r="H186" s="74">
        <f>558.18+16.75</f>
        <v>574.92999999999995</v>
      </c>
      <c r="I186" s="74">
        <v>0</v>
      </c>
      <c r="J186" s="74">
        <v>0</v>
      </c>
      <c r="K186" s="74">
        <v>0</v>
      </c>
      <c r="L186" s="74">
        <v>0</v>
      </c>
      <c r="M186" s="74">
        <v>0</v>
      </c>
      <c r="N186" s="74">
        <v>0</v>
      </c>
      <c r="O186" s="74">
        <v>0</v>
      </c>
      <c r="P186" s="74">
        <v>0</v>
      </c>
      <c r="Q186" s="74">
        <v>0</v>
      </c>
      <c r="R186" s="74">
        <v>0</v>
      </c>
      <c r="S186" s="29"/>
      <c r="Z186" s="72">
        <v>574.92999999999995</v>
      </c>
      <c r="AA186" s="45">
        <f t="shared" si="70"/>
        <v>0</v>
      </c>
      <c r="AG186" s="32">
        <f>558.18*1.03</f>
        <v>574.92539999999997</v>
      </c>
      <c r="AH186" s="51">
        <f t="shared" si="71"/>
        <v>-4.5999999999821739E-3</v>
      </c>
      <c r="AI186" s="45">
        <f>+F186</f>
        <v>574.92999999999995</v>
      </c>
    </row>
    <row r="187" spans="2:35" x14ac:dyDescent="0.2">
      <c r="B187" s="69" t="s">
        <v>367</v>
      </c>
      <c r="C187" s="69" t="s">
        <v>27</v>
      </c>
      <c r="D187" s="70" t="s">
        <v>368</v>
      </c>
      <c r="E187" s="60"/>
      <c r="F187" s="73">
        <f>SUM(G187:R187)</f>
        <v>1479.4099999999999</v>
      </c>
      <c r="G187" s="74">
        <f>1436.32+43.09</f>
        <v>1479.4099999999999</v>
      </c>
      <c r="H187" s="74">
        <v>0</v>
      </c>
      <c r="I187" s="74">
        <v>0</v>
      </c>
      <c r="J187" s="74">
        <v>0</v>
      </c>
      <c r="K187" s="74">
        <v>0</v>
      </c>
      <c r="L187" s="74">
        <v>0</v>
      </c>
      <c r="M187" s="74">
        <v>0</v>
      </c>
      <c r="N187" s="74">
        <v>0</v>
      </c>
      <c r="O187" s="74">
        <v>0</v>
      </c>
      <c r="P187" s="74">
        <v>0</v>
      </c>
      <c r="Q187" s="74">
        <v>0</v>
      </c>
      <c r="R187" s="74">
        <v>0</v>
      </c>
      <c r="S187" s="29"/>
      <c r="Z187" s="72">
        <v>1479.41</v>
      </c>
      <c r="AA187" s="45">
        <f t="shared" si="70"/>
        <v>0</v>
      </c>
      <c r="AG187" s="32">
        <f>1436.32*1.03</f>
        <v>1479.4096</v>
      </c>
      <c r="AH187" s="51">
        <f t="shared" si="71"/>
        <v>-3.9999999989959178E-4</v>
      </c>
      <c r="AI187" s="45">
        <f>+F187</f>
        <v>1479.4099999999999</v>
      </c>
    </row>
    <row r="188" spans="2:35" x14ac:dyDescent="0.2">
      <c r="B188" s="57" t="s">
        <v>369</v>
      </c>
      <c r="C188" s="57"/>
      <c r="D188" s="59" t="s">
        <v>370</v>
      </c>
      <c r="E188" s="60"/>
      <c r="F188" s="77">
        <f>SUM(F189:F192)</f>
        <v>22215.489999999998</v>
      </c>
      <c r="G188" s="78">
        <f t="shared" ref="G188:R188" si="84">SUM(G189:G192)</f>
        <v>10459.41</v>
      </c>
      <c r="H188" s="78">
        <f t="shared" si="84"/>
        <v>854.4</v>
      </c>
      <c r="I188" s="78">
        <f t="shared" si="84"/>
        <v>8601.0299999999988</v>
      </c>
      <c r="J188" s="78">
        <f t="shared" si="84"/>
        <v>0</v>
      </c>
      <c r="K188" s="78">
        <f t="shared" si="84"/>
        <v>0</v>
      </c>
      <c r="L188" s="78">
        <f t="shared" si="84"/>
        <v>1922.6</v>
      </c>
      <c r="M188" s="78">
        <f t="shared" si="84"/>
        <v>0</v>
      </c>
      <c r="N188" s="78">
        <f t="shared" si="84"/>
        <v>378.05</v>
      </c>
      <c r="O188" s="78">
        <f t="shared" si="84"/>
        <v>0</v>
      </c>
      <c r="P188" s="78">
        <f t="shared" si="84"/>
        <v>0</v>
      </c>
      <c r="Q188" s="78">
        <f t="shared" si="84"/>
        <v>0</v>
      </c>
      <c r="R188" s="78">
        <f t="shared" si="84"/>
        <v>0</v>
      </c>
      <c r="S188" s="29"/>
      <c r="Z188" s="48">
        <f t="shared" ref="Z188" si="85">SUM(Z189:Z192)</f>
        <v>22215.489999999998</v>
      </c>
      <c r="AA188" s="45">
        <f t="shared" si="70"/>
        <v>0</v>
      </c>
      <c r="AH188" s="51">
        <f t="shared" si="71"/>
        <v>-22215.489999999998</v>
      </c>
      <c r="AI188" s="45"/>
    </row>
    <row r="189" spans="2:35" x14ac:dyDescent="0.2">
      <c r="B189" s="69" t="s">
        <v>371</v>
      </c>
      <c r="C189" s="69" t="s">
        <v>27</v>
      </c>
      <c r="D189" s="70" t="s">
        <v>372</v>
      </c>
      <c r="E189" s="60"/>
      <c r="F189" s="73">
        <f>SUM(G189:R189)</f>
        <v>12979.57</v>
      </c>
      <c r="G189" s="74">
        <v>7207.44</v>
      </c>
      <c r="H189" s="74">
        <v>0</v>
      </c>
      <c r="I189" s="74">
        <v>5394.08</v>
      </c>
      <c r="J189" s="74">
        <v>0</v>
      </c>
      <c r="K189" s="74">
        <v>0</v>
      </c>
      <c r="L189" s="74">
        <v>0</v>
      </c>
      <c r="M189" s="74">
        <v>0</v>
      </c>
      <c r="N189" s="74">
        <v>378.05</v>
      </c>
      <c r="O189" s="74">
        <v>0</v>
      </c>
      <c r="P189" s="74">
        <v>0</v>
      </c>
      <c r="Q189" s="74">
        <v>0</v>
      </c>
      <c r="R189" s="74">
        <v>0</v>
      </c>
      <c r="S189" s="29"/>
      <c r="Z189" s="72">
        <v>12979.57</v>
      </c>
      <c r="AA189" s="45">
        <f t="shared" si="70"/>
        <v>0</v>
      </c>
      <c r="AG189" s="32">
        <f>12601.52*1.03</f>
        <v>12979.5656</v>
      </c>
      <c r="AH189" s="51">
        <f t="shared" si="71"/>
        <v>-4.3999999998050043E-3</v>
      </c>
      <c r="AI189" s="45">
        <f>+F189</f>
        <v>12979.57</v>
      </c>
    </row>
    <row r="190" spans="2:35" x14ac:dyDescent="0.2">
      <c r="B190" s="69" t="s">
        <v>373</v>
      </c>
      <c r="C190" s="69" t="s">
        <v>27</v>
      </c>
      <c r="D190" s="70" t="s">
        <v>374</v>
      </c>
      <c r="E190" s="60"/>
      <c r="F190" s="73">
        <f>SUM(G190:R190)</f>
        <v>0</v>
      </c>
      <c r="G190" s="74">
        <v>0</v>
      </c>
      <c r="H190" s="74">
        <v>0</v>
      </c>
      <c r="I190" s="74">
        <v>0</v>
      </c>
      <c r="J190" s="74">
        <v>0</v>
      </c>
      <c r="K190" s="74">
        <v>0</v>
      </c>
      <c r="L190" s="74">
        <v>0</v>
      </c>
      <c r="M190" s="74">
        <v>0</v>
      </c>
      <c r="N190" s="74">
        <v>0</v>
      </c>
      <c r="O190" s="74">
        <v>0</v>
      </c>
      <c r="P190" s="74">
        <v>0</v>
      </c>
      <c r="Q190" s="74">
        <v>0</v>
      </c>
      <c r="R190" s="74">
        <v>0</v>
      </c>
      <c r="S190" s="29"/>
      <c r="Z190" s="72">
        <v>0</v>
      </c>
      <c r="AA190" s="45">
        <f t="shared" si="70"/>
        <v>0</v>
      </c>
      <c r="AH190" s="51">
        <f t="shared" si="71"/>
        <v>0</v>
      </c>
      <c r="AI190" s="45">
        <f>+F190</f>
        <v>0</v>
      </c>
    </row>
    <row r="191" spans="2:35" x14ac:dyDescent="0.2">
      <c r="B191" s="69" t="s">
        <v>375</v>
      </c>
      <c r="C191" s="69" t="s">
        <v>27</v>
      </c>
      <c r="D191" s="70" t="s">
        <v>376</v>
      </c>
      <c r="E191" s="60"/>
      <c r="F191" s="73">
        <f>SUM(G191:R191)</f>
        <v>7313.32</v>
      </c>
      <c r="G191" s="74">
        <v>3251.97</v>
      </c>
      <c r="H191" s="74">
        <f>641.39+213.01</f>
        <v>854.4</v>
      </c>
      <c r="I191" s="74">
        <v>3206.95</v>
      </c>
      <c r="J191" s="74">
        <v>0</v>
      </c>
      <c r="K191" s="74">
        <v>0</v>
      </c>
      <c r="L191" s="74">
        <v>0</v>
      </c>
      <c r="M191" s="74">
        <v>0</v>
      </c>
      <c r="N191" s="74">
        <v>0</v>
      </c>
      <c r="O191" s="74">
        <v>0</v>
      </c>
      <c r="P191" s="74">
        <v>0</v>
      </c>
      <c r="Q191" s="74">
        <v>0</v>
      </c>
      <c r="R191" s="74">
        <v>0</v>
      </c>
      <c r="S191" s="29"/>
      <c r="Z191" s="72">
        <v>7313.32</v>
      </c>
      <c r="AA191" s="45">
        <f t="shared" si="70"/>
        <v>0</v>
      </c>
      <c r="AG191" s="32">
        <f>7100.31*1.03</f>
        <v>7313.319300000001</v>
      </c>
      <c r="AH191" s="51">
        <f t="shared" si="71"/>
        <v>-6.9999999868741725E-4</v>
      </c>
      <c r="AI191" s="45">
        <f>+F191</f>
        <v>7313.32</v>
      </c>
    </row>
    <row r="192" spans="2:35" x14ac:dyDescent="0.2">
      <c r="B192" s="69" t="s">
        <v>377</v>
      </c>
      <c r="C192" s="69" t="s">
        <v>27</v>
      </c>
      <c r="D192" s="70" t="s">
        <v>378</v>
      </c>
      <c r="E192" s="60"/>
      <c r="F192" s="73">
        <f>SUM(G192:R192)</f>
        <v>1922.6</v>
      </c>
      <c r="G192" s="74">
        <v>0</v>
      </c>
      <c r="H192" s="74">
        <v>0</v>
      </c>
      <c r="I192" s="74">
        <v>0</v>
      </c>
      <c r="J192" s="74">
        <v>0</v>
      </c>
      <c r="K192" s="74">
        <v>0</v>
      </c>
      <c r="L192" s="74">
        <f>1866.6+56</f>
        <v>1922.6</v>
      </c>
      <c r="M192" s="74">
        <v>0</v>
      </c>
      <c r="N192" s="74">
        <v>0</v>
      </c>
      <c r="O192" s="74">
        <v>0</v>
      </c>
      <c r="P192" s="74">
        <v>0</v>
      </c>
      <c r="Q192" s="74">
        <v>0</v>
      </c>
      <c r="R192" s="74">
        <v>0</v>
      </c>
      <c r="S192" s="29"/>
      <c r="Z192" s="72">
        <v>1922.6</v>
      </c>
      <c r="AA192" s="45">
        <f t="shared" si="70"/>
        <v>0</v>
      </c>
      <c r="AG192" s="32">
        <f>1866.6*1.03</f>
        <v>1922.598</v>
      </c>
      <c r="AH192" s="51">
        <f t="shared" si="71"/>
        <v>-1.9999999999527063E-3</v>
      </c>
      <c r="AI192" s="45">
        <f>+F192</f>
        <v>1922.6</v>
      </c>
    </row>
    <row r="193" spans="2:35" x14ac:dyDescent="0.2">
      <c r="B193" s="57" t="s">
        <v>379</v>
      </c>
      <c r="C193" s="57"/>
      <c r="D193" s="59" t="s">
        <v>380</v>
      </c>
      <c r="E193" s="60"/>
      <c r="F193" s="77">
        <f>+F194</f>
        <v>0</v>
      </c>
      <c r="G193" s="78">
        <f t="shared" ref="G193:Z193" si="86">+G194</f>
        <v>0</v>
      </c>
      <c r="H193" s="78">
        <f t="shared" si="86"/>
        <v>0</v>
      </c>
      <c r="I193" s="78">
        <f t="shared" si="86"/>
        <v>0</v>
      </c>
      <c r="J193" s="78">
        <f t="shared" si="86"/>
        <v>0</v>
      </c>
      <c r="K193" s="78">
        <f t="shared" si="86"/>
        <v>0</v>
      </c>
      <c r="L193" s="78">
        <f t="shared" si="86"/>
        <v>0</v>
      </c>
      <c r="M193" s="78">
        <f t="shared" si="86"/>
        <v>0</v>
      </c>
      <c r="N193" s="78">
        <f t="shared" si="86"/>
        <v>0</v>
      </c>
      <c r="O193" s="78">
        <f t="shared" si="86"/>
        <v>0</v>
      </c>
      <c r="P193" s="78">
        <f t="shared" si="86"/>
        <v>0</v>
      </c>
      <c r="Q193" s="78">
        <f t="shared" si="86"/>
        <v>0</v>
      </c>
      <c r="R193" s="78">
        <f t="shared" si="86"/>
        <v>0</v>
      </c>
      <c r="S193" s="29"/>
      <c r="Z193" s="48">
        <f t="shared" si="86"/>
        <v>0</v>
      </c>
      <c r="AA193" s="45">
        <f t="shared" si="70"/>
        <v>0</v>
      </c>
      <c r="AH193" s="51">
        <f t="shared" si="71"/>
        <v>0</v>
      </c>
      <c r="AI193" s="45"/>
    </row>
    <row r="194" spans="2:35" x14ac:dyDescent="0.2">
      <c r="B194" s="69" t="s">
        <v>381</v>
      </c>
      <c r="C194" s="69" t="s">
        <v>27</v>
      </c>
      <c r="D194" s="70" t="s">
        <v>382</v>
      </c>
      <c r="E194" s="60"/>
      <c r="F194" s="73">
        <f>SUM(G194:R194)</f>
        <v>0</v>
      </c>
      <c r="G194" s="74">
        <v>0</v>
      </c>
      <c r="H194" s="74">
        <v>0</v>
      </c>
      <c r="I194" s="74">
        <v>0</v>
      </c>
      <c r="J194" s="74">
        <v>0</v>
      </c>
      <c r="K194" s="74">
        <v>0</v>
      </c>
      <c r="L194" s="74">
        <v>0</v>
      </c>
      <c r="M194" s="74">
        <v>0</v>
      </c>
      <c r="N194" s="74">
        <v>0</v>
      </c>
      <c r="O194" s="74">
        <v>0</v>
      </c>
      <c r="P194" s="74">
        <v>0</v>
      </c>
      <c r="Q194" s="74">
        <v>0</v>
      </c>
      <c r="R194" s="74">
        <v>0</v>
      </c>
      <c r="S194" s="29"/>
      <c r="Z194" s="72">
        <v>0</v>
      </c>
      <c r="AA194" s="45">
        <f t="shared" si="70"/>
        <v>0</v>
      </c>
      <c r="AH194" s="51">
        <f t="shared" si="71"/>
        <v>0</v>
      </c>
      <c r="AI194" s="45">
        <f>+F194</f>
        <v>0</v>
      </c>
    </row>
    <row r="195" spans="2:35" x14ac:dyDescent="0.2">
      <c r="B195" s="57" t="s">
        <v>383</v>
      </c>
      <c r="C195" s="57"/>
      <c r="D195" s="59" t="s">
        <v>384</v>
      </c>
      <c r="E195" s="60"/>
      <c r="F195" s="77">
        <f>+F196+F198+F200</f>
        <v>2254.31</v>
      </c>
      <c r="G195" s="78">
        <f t="shared" ref="G195:R195" si="87">+G196+G198+G200</f>
        <v>199.11</v>
      </c>
      <c r="H195" s="78">
        <f t="shared" si="87"/>
        <v>145.37</v>
      </c>
      <c r="I195" s="78">
        <f t="shared" si="87"/>
        <v>145.37</v>
      </c>
      <c r="J195" s="78">
        <f t="shared" si="87"/>
        <v>0</v>
      </c>
      <c r="K195" s="78">
        <f t="shared" si="87"/>
        <v>342.91</v>
      </c>
      <c r="L195" s="78">
        <f t="shared" si="87"/>
        <v>149.73000000000002</v>
      </c>
      <c r="M195" s="78">
        <f t="shared" si="87"/>
        <v>0</v>
      </c>
      <c r="N195" s="78">
        <f t="shared" si="87"/>
        <v>0</v>
      </c>
      <c r="O195" s="78">
        <f t="shared" si="87"/>
        <v>1126.45</v>
      </c>
      <c r="P195" s="78">
        <f t="shared" si="87"/>
        <v>0</v>
      </c>
      <c r="Q195" s="78">
        <f t="shared" si="87"/>
        <v>0</v>
      </c>
      <c r="R195" s="78">
        <f t="shared" si="87"/>
        <v>145.37</v>
      </c>
      <c r="S195" s="29"/>
      <c r="Z195" s="48">
        <f t="shared" ref="Z195" si="88">+Z196+Z198+Z200</f>
        <v>2254.31</v>
      </c>
      <c r="AA195" s="45">
        <f t="shared" si="70"/>
        <v>0</v>
      </c>
      <c r="AH195" s="51">
        <f t="shared" si="71"/>
        <v>-2254.31</v>
      </c>
      <c r="AI195" s="45"/>
    </row>
    <row r="196" spans="2:35" x14ac:dyDescent="0.2">
      <c r="B196" s="57" t="s">
        <v>385</v>
      </c>
      <c r="C196" s="57"/>
      <c r="D196" s="59" t="s">
        <v>384</v>
      </c>
      <c r="E196" s="60"/>
      <c r="F196" s="77">
        <f>+F197</f>
        <v>53.74</v>
      </c>
      <c r="G196" s="78">
        <f t="shared" ref="G196:Z196" si="89">+G197</f>
        <v>53.74</v>
      </c>
      <c r="H196" s="78">
        <f t="shared" si="89"/>
        <v>0</v>
      </c>
      <c r="I196" s="78">
        <f t="shared" si="89"/>
        <v>0</v>
      </c>
      <c r="J196" s="78">
        <f t="shared" si="89"/>
        <v>0</v>
      </c>
      <c r="K196" s="78">
        <f t="shared" si="89"/>
        <v>0</v>
      </c>
      <c r="L196" s="78">
        <f t="shared" si="89"/>
        <v>0</v>
      </c>
      <c r="M196" s="78">
        <f t="shared" si="89"/>
        <v>0</v>
      </c>
      <c r="N196" s="78">
        <f t="shared" si="89"/>
        <v>0</v>
      </c>
      <c r="O196" s="78">
        <f t="shared" si="89"/>
        <v>0</v>
      </c>
      <c r="P196" s="78">
        <f t="shared" si="89"/>
        <v>0</v>
      </c>
      <c r="Q196" s="78">
        <f t="shared" si="89"/>
        <v>0</v>
      </c>
      <c r="R196" s="78">
        <f t="shared" si="89"/>
        <v>0</v>
      </c>
      <c r="S196" s="29"/>
      <c r="Z196" s="48">
        <f t="shared" si="89"/>
        <v>53.74</v>
      </c>
      <c r="AA196" s="45">
        <f t="shared" si="70"/>
        <v>0</v>
      </c>
      <c r="AH196" s="51">
        <f t="shared" si="71"/>
        <v>-53.74</v>
      </c>
      <c r="AI196" s="45"/>
    </row>
    <row r="197" spans="2:35" x14ac:dyDescent="0.2">
      <c r="B197" s="69" t="s">
        <v>386</v>
      </c>
      <c r="C197" s="69" t="s">
        <v>27</v>
      </c>
      <c r="D197" s="70" t="s">
        <v>387</v>
      </c>
      <c r="E197" s="60"/>
      <c r="F197" s="73">
        <f>SUM(G197:R197)</f>
        <v>53.74</v>
      </c>
      <c r="G197" s="74">
        <v>53.74</v>
      </c>
      <c r="H197" s="74">
        <v>0</v>
      </c>
      <c r="I197" s="74">
        <v>0</v>
      </c>
      <c r="J197" s="74">
        <v>0</v>
      </c>
      <c r="K197" s="74">
        <v>0</v>
      </c>
      <c r="L197" s="74">
        <v>0</v>
      </c>
      <c r="M197" s="74">
        <v>0</v>
      </c>
      <c r="N197" s="74">
        <v>0</v>
      </c>
      <c r="O197" s="74">
        <v>0</v>
      </c>
      <c r="P197" s="74">
        <v>0</v>
      </c>
      <c r="Q197" s="74">
        <v>0</v>
      </c>
      <c r="R197" s="74">
        <v>0</v>
      </c>
      <c r="S197" s="29"/>
      <c r="Z197" s="72">
        <v>53.74</v>
      </c>
      <c r="AA197" s="45">
        <f t="shared" si="70"/>
        <v>0</v>
      </c>
      <c r="AG197" s="32">
        <f>52.17*1.03</f>
        <v>53.735100000000003</v>
      </c>
      <c r="AH197" s="51">
        <f t="shared" si="71"/>
        <v>-4.8999999999992383E-3</v>
      </c>
      <c r="AI197" s="45">
        <f>+F197</f>
        <v>53.74</v>
      </c>
    </row>
    <row r="198" spans="2:35" x14ac:dyDescent="0.2">
      <c r="B198" s="57" t="s">
        <v>388</v>
      </c>
      <c r="C198" s="57"/>
      <c r="D198" s="59" t="s">
        <v>389</v>
      </c>
      <c r="E198" s="60"/>
      <c r="F198" s="77">
        <f>+F199</f>
        <v>981.17</v>
      </c>
      <c r="G198" s="78">
        <f t="shared" ref="G198:Z198" si="90">+G199</f>
        <v>0</v>
      </c>
      <c r="H198" s="78">
        <f t="shared" si="90"/>
        <v>0</v>
      </c>
      <c r="I198" s="78">
        <f t="shared" si="90"/>
        <v>0</v>
      </c>
      <c r="J198" s="78">
        <f t="shared" si="90"/>
        <v>0</v>
      </c>
      <c r="K198" s="78">
        <f t="shared" si="90"/>
        <v>52.17</v>
      </c>
      <c r="L198" s="78">
        <f t="shared" si="90"/>
        <v>0</v>
      </c>
      <c r="M198" s="78">
        <f t="shared" si="90"/>
        <v>0</v>
      </c>
      <c r="N198" s="78">
        <f t="shared" si="90"/>
        <v>0</v>
      </c>
      <c r="O198" s="78">
        <f t="shared" si="90"/>
        <v>929</v>
      </c>
      <c r="P198" s="78">
        <f t="shared" si="90"/>
        <v>0</v>
      </c>
      <c r="Q198" s="78">
        <f t="shared" si="90"/>
        <v>0</v>
      </c>
      <c r="R198" s="78">
        <f t="shared" si="90"/>
        <v>0</v>
      </c>
      <c r="S198" s="29"/>
      <c r="Z198" s="48">
        <f t="shared" si="90"/>
        <v>981.17</v>
      </c>
      <c r="AA198" s="45">
        <f t="shared" si="70"/>
        <v>0</v>
      </c>
      <c r="AH198" s="51">
        <f t="shared" si="71"/>
        <v>-981.17</v>
      </c>
      <c r="AI198" s="45"/>
    </row>
    <row r="199" spans="2:35" x14ac:dyDescent="0.2">
      <c r="B199" s="69" t="s">
        <v>390</v>
      </c>
      <c r="C199" s="69" t="s">
        <v>27</v>
      </c>
      <c r="D199" s="70" t="s">
        <v>391</v>
      </c>
      <c r="E199" s="60"/>
      <c r="F199" s="73">
        <f>SUM(G199:R199)</f>
        <v>981.17</v>
      </c>
      <c r="G199" s="74">
        <v>0</v>
      </c>
      <c r="H199" s="74">
        <v>0</v>
      </c>
      <c r="I199" s="74">
        <v>0</v>
      </c>
      <c r="J199" s="74">
        <v>0</v>
      </c>
      <c r="K199" s="74">
        <v>52.17</v>
      </c>
      <c r="L199" s="74">
        <v>0</v>
      </c>
      <c r="M199" s="74">
        <v>0</v>
      </c>
      <c r="N199" s="74">
        <v>0</v>
      </c>
      <c r="O199" s="74">
        <f>900.42+28.58</f>
        <v>929</v>
      </c>
      <c r="P199" s="74">
        <v>0</v>
      </c>
      <c r="Q199" s="74">
        <v>0</v>
      </c>
      <c r="R199" s="74">
        <v>0</v>
      </c>
      <c r="S199" s="29"/>
      <c r="Z199" s="72">
        <v>981.17</v>
      </c>
      <c r="AA199" s="45">
        <f t="shared" si="70"/>
        <v>0</v>
      </c>
      <c r="AG199" s="32">
        <f>952.59*1.03</f>
        <v>981.16770000000008</v>
      </c>
      <c r="AH199" s="51">
        <f t="shared" si="71"/>
        <v>-2.2999999998774001E-3</v>
      </c>
      <c r="AI199" s="45">
        <f>+F199</f>
        <v>981.17</v>
      </c>
    </row>
    <row r="200" spans="2:35" x14ac:dyDescent="0.2">
      <c r="B200" s="57" t="s">
        <v>392</v>
      </c>
      <c r="C200" s="57"/>
      <c r="D200" s="59" t="s">
        <v>393</v>
      </c>
      <c r="E200" s="60"/>
      <c r="F200" s="77">
        <f>SUM(F201:F203)</f>
        <v>1219.4000000000001</v>
      </c>
      <c r="G200" s="78">
        <f t="shared" ref="G200:R200" si="91">SUM(G201:G203)</f>
        <v>145.37</v>
      </c>
      <c r="H200" s="78">
        <f t="shared" si="91"/>
        <v>145.37</v>
      </c>
      <c r="I200" s="78">
        <f t="shared" si="91"/>
        <v>145.37</v>
      </c>
      <c r="J200" s="78">
        <f t="shared" si="91"/>
        <v>0</v>
      </c>
      <c r="K200" s="78">
        <f t="shared" si="91"/>
        <v>290.74</v>
      </c>
      <c r="L200" s="78">
        <f t="shared" si="91"/>
        <v>149.73000000000002</v>
      </c>
      <c r="M200" s="78">
        <f t="shared" si="91"/>
        <v>0</v>
      </c>
      <c r="N200" s="78">
        <f t="shared" si="91"/>
        <v>0</v>
      </c>
      <c r="O200" s="78">
        <f t="shared" si="91"/>
        <v>197.45</v>
      </c>
      <c r="P200" s="78">
        <f t="shared" si="91"/>
        <v>0</v>
      </c>
      <c r="Q200" s="78">
        <f t="shared" si="91"/>
        <v>0</v>
      </c>
      <c r="R200" s="78">
        <f t="shared" si="91"/>
        <v>145.37</v>
      </c>
      <c r="S200" s="29"/>
      <c r="Z200" s="48">
        <f t="shared" ref="Z200" si="92">SUM(Z201:Z203)</f>
        <v>1219.4000000000001</v>
      </c>
      <c r="AA200" s="45">
        <f t="shared" si="70"/>
        <v>0</v>
      </c>
      <c r="AH200" s="51">
        <f t="shared" si="71"/>
        <v>-1219.4000000000001</v>
      </c>
      <c r="AI200" s="45"/>
    </row>
    <row r="201" spans="2:35" x14ac:dyDescent="0.2">
      <c r="B201" s="69" t="s">
        <v>394</v>
      </c>
      <c r="C201" s="69" t="s">
        <v>27</v>
      </c>
      <c r="D201" s="70" t="s">
        <v>395</v>
      </c>
      <c r="E201" s="60"/>
      <c r="F201" s="73">
        <f>SUM(G201:R201)</f>
        <v>149.73000000000002</v>
      </c>
      <c r="G201" s="74">
        <v>0</v>
      </c>
      <c r="H201" s="74">
        <v>0</v>
      </c>
      <c r="I201" s="74">
        <v>0</v>
      </c>
      <c r="J201" s="74">
        <v>0</v>
      </c>
      <c r="K201" s="74">
        <v>0</v>
      </c>
      <c r="L201" s="74">
        <f>145.37+4.36</f>
        <v>149.73000000000002</v>
      </c>
      <c r="M201" s="74">
        <v>0</v>
      </c>
      <c r="N201" s="74">
        <v>0</v>
      </c>
      <c r="O201" s="74">
        <v>0</v>
      </c>
      <c r="P201" s="74">
        <v>0</v>
      </c>
      <c r="Q201" s="74">
        <v>0</v>
      </c>
      <c r="R201" s="74">
        <v>0</v>
      </c>
      <c r="S201" s="29"/>
      <c r="Z201" s="72">
        <v>149.72999999999999</v>
      </c>
      <c r="AA201" s="45">
        <f t="shared" si="70"/>
        <v>0</v>
      </c>
      <c r="AG201" s="32">
        <f>145.37*1.03</f>
        <v>149.7311</v>
      </c>
      <c r="AH201" s="51">
        <f t="shared" si="71"/>
        <v>1.0999999999796728E-3</v>
      </c>
      <c r="AI201" s="45">
        <f>+F201</f>
        <v>149.73000000000002</v>
      </c>
    </row>
    <row r="202" spans="2:35" x14ac:dyDescent="0.2">
      <c r="B202" s="69" t="s">
        <v>396</v>
      </c>
      <c r="C202" s="69" t="s">
        <v>27</v>
      </c>
      <c r="D202" s="70" t="s">
        <v>397</v>
      </c>
      <c r="E202" s="60"/>
      <c r="F202" s="73">
        <f>SUM(G202:R202)</f>
        <v>633.55999999999995</v>
      </c>
      <c r="G202" s="74">
        <v>0</v>
      </c>
      <c r="H202" s="74">
        <v>0</v>
      </c>
      <c r="I202" s="74">
        <v>0</v>
      </c>
      <c r="J202" s="74">
        <v>0</v>
      </c>
      <c r="K202" s="74">
        <v>290.74</v>
      </c>
      <c r="L202" s="74">
        <v>0</v>
      </c>
      <c r="M202" s="74">
        <v>0</v>
      </c>
      <c r="N202" s="74">
        <v>0</v>
      </c>
      <c r="O202" s="74">
        <f>179+18.45</f>
        <v>197.45</v>
      </c>
      <c r="P202" s="74">
        <v>0</v>
      </c>
      <c r="Q202" s="74">
        <v>0</v>
      </c>
      <c r="R202" s="74">
        <v>145.37</v>
      </c>
      <c r="S202" s="29"/>
      <c r="Z202" s="72">
        <v>633.55999999999995</v>
      </c>
      <c r="AA202" s="45">
        <f t="shared" si="70"/>
        <v>0</v>
      </c>
      <c r="AG202" s="32">
        <f>615.11*1.03</f>
        <v>633.56330000000003</v>
      </c>
      <c r="AH202" s="51">
        <f t="shared" si="71"/>
        <v>3.3000000000811269E-3</v>
      </c>
      <c r="AI202" s="45">
        <f>+F202</f>
        <v>633.55999999999995</v>
      </c>
    </row>
    <row r="203" spans="2:35" x14ac:dyDescent="0.2">
      <c r="B203" s="69" t="s">
        <v>398</v>
      </c>
      <c r="C203" s="69" t="s">
        <v>27</v>
      </c>
      <c r="D203" s="70" t="s">
        <v>399</v>
      </c>
      <c r="E203" s="60"/>
      <c r="F203" s="73">
        <f>SUM(G203:R203)</f>
        <v>436.11</v>
      </c>
      <c r="G203" s="74">
        <v>145.37</v>
      </c>
      <c r="H203" s="74">
        <v>145.37</v>
      </c>
      <c r="I203" s="74">
        <v>145.37</v>
      </c>
      <c r="J203" s="74">
        <v>0</v>
      </c>
      <c r="K203" s="74">
        <v>0</v>
      </c>
      <c r="L203" s="74">
        <v>0</v>
      </c>
      <c r="M203" s="74">
        <v>0</v>
      </c>
      <c r="N203" s="74">
        <v>0</v>
      </c>
      <c r="O203" s="74">
        <v>0</v>
      </c>
      <c r="P203" s="74">
        <v>0</v>
      </c>
      <c r="Q203" s="74">
        <v>0</v>
      </c>
      <c r="R203" s="74">
        <v>0</v>
      </c>
      <c r="S203" s="29"/>
      <c r="Z203" s="72">
        <v>436.11</v>
      </c>
      <c r="AA203" s="45">
        <f t="shared" si="70"/>
        <v>0</v>
      </c>
      <c r="AG203" s="32">
        <f>290.74*1.03</f>
        <v>299.4622</v>
      </c>
      <c r="AH203" s="51">
        <f t="shared" si="71"/>
        <v>-136.64780000000002</v>
      </c>
      <c r="AI203" s="45">
        <f>+F203</f>
        <v>436.11</v>
      </c>
    </row>
    <row r="204" spans="2:35" x14ac:dyDescent="0.2">
      <c r="B204" s="57" t="s">
        <v>400</v>
      </c>
      <c r="C204" s="57"/>
      <c r="D204" s="59" t="s">
        <v>401</v>
      </c>
      <c r="E204" s="60"/>
      <c r="F204" s="77">
        <f>+F205</f>
        <v>182661.64</v>
      </c>
      <c r="G204" s="78">
        <f t="shared" ref="G204:Z204" si="93">+G205</f>
        <v>16264</v>
      </c>
      <c r="H204" s="78">
        <f t="shared" si="93"/>
        <v>16769</v>
      </c>
      <c r="I204" s="78">
        <f t="shared" si="93"/>
        <v>17713.57</v>
      </c>
      <c r="J204" s="78">
        <f t="shared" si="93"/>
        <v>16372.61</v>
      </c>
      <c r="K204" s="78">
        <f t="shared" si="93"/>
        <v>15252</v>
      </c>
      <c r="L204" s="78">
        <f t="shared" si="93"/>
        <v>10359.709999999999</v>
      </c>
      <c r="M204" s="78">
        <f t="shared" si="93"/>
        <v>0</v>
      </c>
      <c r="N204" s="78">
        <f t="shared" si="93"/>
        <v>4229.41</v>
      </c>
      <c r="O204" s="78">
        <f t="shared" si="93"/>
        <v>46328.79</v>
      </c>
      <c r="P204" s="78">
        <f t="shared" si="93"/>
        <v>11000.2</v>
      </c>
      <c r="Q204" s="78">
        <f t="shared" si="93"/>
        <v>14325.349999999999</v>
      </c>
      <c r="R204" s="78">
        <f t="shared" si="93"/>
        <v>14047</v>
      </c>
      <c r="S204" s="29"/>
      <c r="Z204" s="48">
        <f t="shared" si="93"/>
        <v>182661.64</v>
      </c>
      <c r="AA204" s="45">
        <f t="shared" si="70"/>
        <v>0</v>
      </c>
      <c r="AH204" s="51">
        <f t="shared" si="71"/>
        <v>-182661.64</v>
      </c>
      <c r="AI204" s="45"/>
    </row>
    <row r="205" spans="2:35" x14ac:dyDescent="0.2">
      <c r="B205" s="57" t="s">
        <v>402</v>
      </c>
      <c r="C205" s="57"/>
      <c r="D205" s="59" t="s">
        <v>403</v>
      </c>
      <c r="E205" s="60"/>
      <c r="F205" s="92">
        <f>+F206+F211+F215+F219</f>
        <v>182661.64</v>
      </c>
      <c r="G205" s="93">
        <f t="shared" ref="G205:R205" si="94">+G206+G211+G215+G219</f>
        <v>16264</v>
      </c>
      <c r="H205" s="93">
        <f t="shared" si="94"/>
        <v>16769</v>
      </c>
      <c r="I205" s="93">
        <f t="shared" si="94"/>
        <v>17713.57</v>
      </c>
      <c r="J205" s="93">
        <f t="shared" si="94"/>
        <v>16372.61</v>
      </c>
      <c r="K205" s="93">
        <f t="shared" si="94"/>
        <v>15252</v>
      </c>
      <c r="L205" s="93">
        <f t="shared" si="94"/>
        <v>10359.709999999999</v>
      </c>
      <c r="M205" s="93">
        <f t="shared" si="94"/>
        <v>0</v>
      </c>
      <c r="N205" s="93">
        <f t="shared" si="94"/>
        <v>4229.41</v>
      </c>
      <c r="O205" s="93">
        <f t="shared" si="94"/>
        <v>46328.79</v>
      </c>
      <c r="P205" s="93">
        <f t="shared" si="94"/>
        <v>11000.2</v>
      </c>
      <c r="Q205" s="93">
        <f t="shared" si="94"/>
        <v>14325.349999999999</v>
      </c>
      <c r="R205" s="93">
        <f t="shared" si="94"/>
        <v>14047</v>
      </c>
      <c r="S205" s="29"/>
      <c r="Z205" s="94">
        <f t="shared" ref="Z205" si="95">+Z206+Z211+Z215+Z219</f>
        <v>182661.64</v>
      </c>
      <c r="AA205" s="45">
        <f t="shared" si="70"/>
        <v>0</v>
      </c>
      <c r="AH205" s="51">
        <f t="shared" si="71"/>
        <v>-182661.64</v>
      </c>
      <c r="AI205" s="45"/>
    </row>
    <row r="206" spans="2:35" x14ac:dyDescent="0.2">
      <c r="B206" s="57" t="s">
        <v>404</v>
      </c>
      <c r="C206" s="57"/>
      <c r="D206" s="59" t="s">
        <v>405</v>
      </c>
      <c r="E206" s="60"/>
      <c r="F206" s="77">
        <f>SUM(F207:F210)</f>
        <v>1987.59</v>
      </c>
      <c r="G206" s="78">
        <f t="shared" ref="G206:R206" si="96">SUM(G207:G210)</f>
        <v>111</v>
      </c>
      <c r="H206" s="78">
        <f t="shared" si="96"/>
        <v>193</v>
      </c>
      <c r="I206" s="78">
        <f t="shared" si="96"/>
        <v>431.57</v>
      </c>
      <c r="J206" s="78">
        <f t="shared" si="96"/>
        <v>216</v>
      </c>
      <c r="K206" s="78">
        <f t="shared" si="96"/>
        <v>0</v>
      </c>
      <c r="L206" s="78">
        <f t="shared" si="96"/>
        <v>247.71</v>
      </c>
      <c r="M206" s="78">
        <f t="shared" si="96"/>
        <v>0</v>
      </c>
      <c r="N206" s="78">
        <f t="shared" si="96"/>
        <v>0</v>
      </c>
      <c r="O206" s="78">
        <f t="shared" si="96"/>
        <v>664</v>
      </c>
      <c r="P206" s="78">
        <f t="shared" si="96"/>
        <v>0</v>
      </c>
      <c r="Q206" s="78">
        <f t="shared" si="96"/>
        <v>124.31</v>
      </c>
      <c r="R206" s="78">
        <f t="shared" si="96"/>
        <v>0</v>
      </c>
      <c r="S206" s="29"/>
      <c r="Z206" s="48">
        <f t="shared" ref="Z206" si="97">SUM(Z207:Z210)</f>
        <v>1987.59</v>
      </c>
      <c r="AA206" s="45">
        <f t="shared" si="70"/>
        <v>0</v>
      </c>
      <c r="AH206" s="51">
        <f t="shared" si="71"/>
        <v>-1987.59</v>
      </c>
      <c r="AI206" s="45"/>
    </row>
    <row r="207" spans="2:35" x14ac:dyDescent="0.2">
      <c r="B207" s="69" t="s">
        <v>406</v>
      </c>
      <c r="C207" s="69" t="s">
        <v>260</v>
      </c>
      <c r="D207" s="70" t="s">
        <v>407</v>
      </c>
      <c r="E207" s="60"/>
      <c r="F207" s="73">
        <f>SUM(G207:R207)</f>
        <v>0</v>
      </c>
      <c r="G207" s="74">
        <v>0</v>
      </c>
      <c r="H207" s="74">
        <v>0</v>
      </c>
      <c r="I207" s="74">
        <v>0</v>
      </c>
      <c r="J207" s="74">
        <v>0</v>
      </c>
      <c r="K207" s="74">
        <v>0</v>
      </c>
      <c r="L207" s="74">
        <v>0</v>
      </c>
      <c r="M207" s="74">
        <v>0</v>
      </c>
      <c r="N207" s="74">
        <v>0</v>
      </c>
      <c r="O207" s="74">
        <v>0</v>
      </c>
      <c r="P207" s="74">
        <v>0</v>
      </c>
      <c r="Q207" s="74">
        <v>0</v>
      </c>
      <c r="R207" s="74">
        <v>0</v>
      </c>
      <c r="S207" s="29"/>
      <c r="Z207" s="72">
        <v>0</v>
      </c>
      <c r="AA207" s="45">
        <f t="shared" si="70"/>
        <v>0</v>
      </c>
      <c r="AH207" s="51">
        <f t="shared" si="71"/>
        <v>0</v>
      </c>
      <c r="AI207" s="45">
        <f>+F207</f>
        <v>0</v>
      </c>
    </row>
    <row r="208" spans="2:35" x14ac:dyDescent="0.2">
      <c r="B208" s="69" t="s">
        <v>408</v>
      </c>
      <c r="C208" s="69" t="s">
        <v>260</v>
      </c>
      <c r="D208" s="70" t="s">
        <v>409</v>
      </c>
      <c r="E208" s="60"/>
      <c r="F208" s="73">
        <f>SUM(G208:R208)</f>
        <v>1088.71</v>
      </c>
      <c r="G208" s="74">
        <v>0</v>
      </c>
      <c r="H208" s="74">
        <v>193</v>
      </c>
      <c r="I208" s="74">
        <v>0</v>
      </c>
      <c r="J208" s="74">
        <v>216</v>
      </c>
      <c r="K208" s="74">
        <v>0</v>
      </c>
      <c r="L208" s="74">
        <f>216+31.71</f>
        <v>247.71</v>
      </c>
      <c r="M208" s="74">
        <v>0</v>
      </c>
      <c r="N208" s="74">
        <v>0</v>
      </c>
      <c r="O208" s="74">
        <v>432</v>
      </c>
      <c r="P208" s="74">
        <v>0</v>
      </c>
      <c r="Q208" s="74">
        <v>0</v>
      </c>
      <c r="R208" s="74">
        <v>0</v>
      </c>
      <c r="S208" s="29"/>
      <c r="Z208" s="72">
        <v>1088.71</v>
      </c>
      <c r="AA208" s="45">
        <f t="shared" si="70"/>
        <v>0</v>
      </c>
      <c r="AG208" s="32">
        <f>1057*1.03</f>
        <v>1088.71</v>
      </c>
      <c r="AH208" s="51">
        <f t="shared" si="71"/>
        <v>0</v>
      </c>
      <c r="AI208" s="45">
        <f>+F208</f>
        <v>1088.71</v>
      </c>
    </row>
    <row r="209" spans="2:35" x14ac:dyDescent="0.2">
      <c r="B209" s="69" t="s">
        <v>410</v>
      </c>
      <c r="C209" s="69" t="s">
        <v>260</v>
      </c>
      <c r="D209" s="70" t="s">
        <v>411</v>
      </c>
      <c r="E209" s="60"/>
      <c r="F209" s="73">
        <f>SUM(G209:R209)</f>
        <v>431.57</v>
      </c>
      <c r="G209" s="74">
        <v>0</v>
      </c>
      <c r="H209" s="74">
        <v>0</v>
      </c>
      <c r="I209" s="74">
        <f>419+12.57</f>
        <v>431.57</v>
      </c>
      <c r="J209" s="74">
        <v>0</v>
      </c>
      <c r="K209" s="74">
        <v>0</v>
      </c>
      <c r="L209" s="74">
        <v>0</v>
      </c>
      <c r="M209" s="74">
        <v>0</v>
      </c>
      <c r="N209" s="74">
        <v>0</v>
      </c>
      <c r="O209" s="74">
        <v>0</v>
      </c>
      <c r="P209" s="74">
        <v>0</v>
      </c>
      <c r="Q209" s="74">
        <v>0</v>
      </c>
      <c r="R209" s="74">
        <v>0</v>
      </c>
      <c r="S209" s="29"/>
      <c r="Z209" s="72">
        <v>431.57</v>
      </c>
      <c r="AA209" s="45">
        <f t="shared" ref="AA209:AA272" si="98">+Z209-F209</f>
        <v>0</v>
      </c>
      <c r="AG209" s="32">
        <f>419*1.03</f>
        <v>431.57</v>
      </c>
      <c r="AH209" s="51">
        <f t="shared" si="71"/>
        <v>0</v>
      </c>
      <c r="AI209" s="45">
        <f>+F209</f>
        <v>431.57</v>
      </c>
    </row>
    <row r="210" spans="2:35" x14ac:dyDescent="0.2">
      <c r="B210" s="69" t="s">
        <v>412</v>
      </c>
      <c r="C210" s="69" t="s">
        <v>260</v>
      </c>
      <c r="D210" s="70" t="s">
        <v>413</v>
      </c>
      <c r="E210" s="60"/>
      <c r="F210" s="73">
        <f>SUM(G210:R210)</f>
        <v>467.31</v>
      </c>
      <c r="G210" s="74">
        <v>111</v>
      </c>
      <c r="H210" s="74">
        <v>0</v>
      </c>
      <c r="I210" s="74">
        <v>0</v>
      </c>
      <c r="J210" s="74">
        <v>0</v>
      </c>
      <c r="K210" s="74">
        <v>0</v>
      </c>
      <c r="L210" s="74">
        <v>0</v>
      </c>
      <c r="M210" s="74">
        <v>0</v>
      </c>
      <c r="N210" s="74">
        <v>0</v>
      </c>
      <c r="O210" s="74">
        <v>232</v>
      </c>
      <c r="P210" s="74">
        <v>0</v>
      </c>
      <c r="Q210" s="74">
        <f>110.7+13.61</f>
        <v>124.31</v>
      </c>
      <c r="R210" s="74">
        <v>0</v>
      </c>
      <c r="S210" s="29"/>
      <c r="Z210" s="72">
        <v>467.31</v>
      </c>
      <c r="AA210" s="45">
        <f t="shared" si="98"/>
        <v>0</v>
      </c>
      <c r="AG210" s="32">
        <f>453.7*1.03</f>
        <v>467.31099999999998</v>
      </c>
      <c r="AH210" s="51">
        <f t="shared" si="71"/>
        <v>9.9999999997635314E-4</v>
      </c>
      <c r="AI210" s="45">
        <f>+F210</f>
        <v>467.31</v>
      </c>
    </row>
    <row r="211" spans="2:35" x14ac:dyDescent="0.2">
      <c r="B211" s="57" t="s">
        <v>414</v>
      </c>
      <c r="C211" s="57"/>
      <c r="D211" s="59" t="s">
        <v>415</v>
      </c>
      <c r="E211" s="60"/>
      <c r="F211" s="77">
        <f>SUM(F212:F214)</f>
        <v>16877.580000000002</v>
      </c>
      <c r="G211" s="78">
        <f t="shared" ref="G211:S211" si="99">SUM(G212:G214)</f>
        <v>2030</v>
      </c>
      <c r="H211" s="78">
        <f t="shared" si="99"/>
        <v>2227</v>
      </c>
      <c r="I211" s="78">
        <f t="shared" si="99"/>
        <v>1212</v>
      </c>
      <c r="J211" s="78">
        <f t="shared" si="99"/>
        <v>303</v>
      </c>
      <c r="K211" s="78">
        <f t="shared" si="99"/>
        <v>303</v>
      </c>
      <c r="L211" s="78">
        <f t="shared" si="99"/>
        <v>606</v>
      </c>
      <c r="M211" s="78">
        <f t="shared" si="99"/>
        <v>0</v>
      </c>
      <c r="N211" s="78">
        <f t="shared" si="99"/>
        <v>0</v>
      </c>
      <c r="O211" s="78">
        <f t="shared" si="99"/>
        <v>3982.79</v>
      </c>
      <c r="P211" s="78">
        <f t="shared" si="99"/>
        <v>289.8</v>
      </c>
      <c r="Q211" s="78">
        <f t="shared" si="99"/>
        <v>2298.9900000000002</v>
      </c>
      <c r="R211" s="78">
        <f t="shared" si="99"/>
        <v>3625</v>
      </c>
      <c r="S211" s="81">
        <f t="shared" si="99"/>
        <v>0</v>
      </c>
      <c r="T211" s="81"/>
      <c r="U211" s="81"/>
      <c r="V211" s="81"/>
      <c r="W211" s="81"/>
      <c r="X211" s="81"/>
      <c r="Y211" s="81"/>
      <c r="Z211" s="48">
        <f t="shared" ref="Z211" si="100">SUM(Z212:Z214)</f>
        <v>16877.580000000002</v>
      </c>
      <c r="AA211" s="45">
        <f t="shared" si="98"/>
        <v>0</v>
      </c>
      <c r="AB211" s="82"/>
      <c r="AC211" s="82"/>
      <c r="AD211" s="82"/>
      <c r="AE211" s="82"/>
      <c r="AF211" s="82"/>
      <c r="AH211" s="51">
        <f t="shared" si="71"/>
        <v>-16877.580000000002</v>
      </c>
      <c r="AI211" s="45"/>
    </row>
    <row r="212" spans="2:35" x14ac:dyDescent="0.2">
      <c r="B212" s="69" t="s">
        <v>416</v>
      </c>
      <c r="C212" s="69" t="s">
        <v>260</v>
      </c>
      <c r="D212" s="70" t="s">
        <v>417</v>
      </c>
      <c r="E212" s="60"/>
      <c r="F212" s="73">
        <f>SUM(G212:R212)</f>
        <v>9228.59</v>
      </c>
      <c r="G212" s="74">
        <v>2030</v>
      </c>
      <c r="H212" s="74">
        <v>1212</v>
      </c>
      <c r="I212" s="74">
        <v>1212</v>
      </c>
      <c r="J212" s="74">
        <v>303</v>
      </c>
      <c r="K212" s="74">
        <v>303</v>
      </c>
      <c r="L212" s="74">
        <v>606</v>
      </c>
      <c r="M212" s="74">
        <v>0</v>
      </c>
      <c r="N212" s="74">
        <v>0</v>
      </c>
      <c r="O212" s="74">
        <v>2424</v>
      </c>
      <c r="P212" s="74">
        <v>289.8</v>
      </c>
      <c r="Q212" s="74">
        <v>268.79000000000002</v>
      </c>
      <c r="R212" s="74">
        <v>580</v>
      </c>
      <c r="S212" s="29"/>
      <c r="Z212" s="72">
        <v>9228.59</v>
      </c>
      <c r="AA212" s="45">
        <f t="shared" si="98"/>
        <v>0</v>
      </c>
      <c r="AG212" s="32">
        <f>8959.8*1.03</f>
        <v>9228.5939999999991</v>
      </c>
      <c r="AH212" s="51">
        <f t="shared" si="71"/>
        <v>3.9999999989959178E-3</v>
      </c>
      <c r="AI212" s="45">
        <f>+F212</f>
        <v>9228.59</v>
      </c>
    </row>
    <row r="213" spans="2:35" x14ac:dyDescent="0.2">
      <c r="B213" s="69" t="s">
        <v>418</v>
      </c>
      <c r="C213" s="69" t="s">
        <v>260</v>
      </c>
      <c r="D213" s="70" t="s">
        <v>419</v>
      </c>
      <c r="E213" s="60"/>
      <c r="F213" s="73">
        <f>SUM(G213:R213)</f>
        <v>6272.91</v>
      </c>
      <c r="G213" s="74">
        <v>0</v>
      </c>
      <c r="H213" s="74">
        <v>1015</v>
      </c>
      <c r="I213" s="74">
        <v>0</v>
      </c>
      <c r="J213" s="74">
        <v>0</v>
      </c>
      <c r="K213" s="74">
        <v>0</v>
      </c>
      <c r="L213" s="74">
        <v>0</v>
      </c>
      <c r="M213" s="74">
        <v>0</v>
      </c>
      <c r="N213" s="74">
        <v>0</v>
      </c>
      <c r="O213" s="74">
        <v>182.71</v>
      </c>
      <c r="P213" s="74">
        <v>0</v>
      </c>
      <c r="Q213" s="74">
        <v>2030.2</v>
      </c>
      <c r="R213" s="74">
        <v>3045</v>
      </c>
      <c r="S213" s="29"/>
      <c r="Z213" s="72">
        <v>6272.91</v>
      </c>
      <c r="AA213" s="45">
        <f t="shared" si="98"/>
        <v>0</v>
      </c>
      <c r="AG213" s="32">
        <f>6090.2*1.03</f>
        <v>6272.9059999999999</v>
      </c>
      <c r="AH213" s="51">
        <f t="shared" ref="AH213:AH276" si="101">+AG213-F213</f>
        <v>-3.9999999999054126E-3</v>
      </c>
      <c r="AI213" s="45">
        <f>+F213</f>
        <v>6272.91</v>
      </c>
    </row>
    <row r="214" spans="2:35" x14ac:dyDescent="0.2">
      <c r="B214" s="86" t="s">
        <v>420</v>
      </c>
      <c r="C214" s="69" t="s">
        <v>260</v>
      </c>
      <c r="D214" s="70" t="s">
        <v>421</v>
      </c>
      <c r="E214" s="60"/>
      <c r="F214" s="73">
        <f>SUM(G214:R214)</f>
        <v>1376.08</v>
      </c>
      <c r="G214" s="74">
        <v>0</v>
      </c>
      <c r="H214" s="74">
        <v>0</v>
      </c>
      <c r="I214" s="74">
        <v>0</v>
      </c>
      <c r="J214" s="74">
        <v>0</v>
      </c>
      <c r="K214" s="74">
        <v>0</v>
      </c>
      <c r="L214" s="74">
        <v>0</v>
      </c>
      <c r="M214" s="74">
        <v>0</v>
      </c>
      <c r="N214" s="74">
        <v>0</v>
      </c>
      <c r="O214" s="74">
        <f>1336+40.08</f>
        <v>1376.08</v>
      </c>
      <c r="P214" s="74">
        <v>0</v>
      </c>
      <c r="Q214" s="74">
        <v>0</v>
      </c>
      <c r="R214" s="74">
        <v>0</v>
      </c>
      <c r="S214" s="29"/>
      <c r="Z214" s="72">
        <v>1376.08</v>
      </c>
      <c r="AA214" s="45">
        <f t="shared" si="98"/>
        <v>0</v>
      </c>
      <c r="AG214" s="32">
        <f>1336*1.03</f>
        <v>1376.08</v>
      </c>
      <c r="AH214" s="51">
        <f t="shared" si="101"/>
        <v>0</v>
      </c>
      <c r="AI214" s="45">
        <f>+F214</f>
        <v>1376.08</v>
      </c>
    </row>
    <row r="215" spans="2:35" x14ac:dyDescent="0.2">
      <c r="B215" s="57" t="s">
        <v>422</v>
      </c>
      <c r="C215" s="57"/>
      <c r="D215" s="59" t="s">
        <v>423</v>
      </c>
      <c r="E215" s="60"/>
      <c r="F215" s="77">
        <f>SUM(F216:F218)</f>
        <v>9473.2199999999993</v>
      </c>
      <c r="G215" s="78">
        <f t="shared" ref="G215:R215" si="102">SUM(G216:G218)</f>
        <v>431</v>
      </c>
      <c r="H215" s="78">
        <f t="shared" si="102"/>
        <v>452</v>
      </c>
      <c r="I215" s="78">
        <f t="shared" si="102"/>
        <v>452</v>
      </c>
      <c r="J215" s="78">
        <f t="shared" si="102"/>
        <v>2292.6099999999997</v>
      </c>
      <c r="K215" s="78">
        <f t="shared" si="102"/>
        <v>1808</v>
      </c>
      <c r="L215" s="78">
        <f t="shared" si="102"/>
        <v>452</v>
      </c>
      <c r="M215" s="78">
        <f t="shared" si="102"/>
        <v>0</v>
      </c>
      <c r="N215" s="78">
        <f t="shared" si="102"/>
        <v>0</v>
      </c>
      <c r="O215" s="78">
        <f t="shared" si="102"/>
        <v>1280</v>
      </c>
      <c r="P215" s="78">
        <f t="shared" si="102"/>
        <v>631.36</v>
      </c>
      <c r="Q215" s="78">
        <f t="shared" si="102"/>
        <v>812.25</v>
      </c>
      <c r="R215" s="78">
        <f t="shared" si="102"/>
        <v>862</v>
      </c>
      <c r="S215" s="29"/>
      <c r="Z215" s="48">
        <f t="shared" ref="Z215" si="103">SUM(Z216:Z218)</f>
        <v>9473.2199999999993</v>
      </c>
      <c r="AA215" s="45">
        <f t="shared" si="98"/>
        <v>0</v>
      </c>
      <c r="AH215" s="51">
        <f t="shared" si="101"/>
        <v>-9473.2199999999993</v>
      </c>
      <c r="AI215" s="45"/>
    </row>
    <row r="216" spans="2:35" x14ac:dyDescent="0.2">
      <c r="B216" s="69" t="s">
        <v>424</v>
      </c>
      <c r="C216" s="69" t="s">
        <v>260</v>
      </c>
      <c r="D216" s="70" t="s">
        <v>425</v>
      </c>
      <c r="E216" s="60"/>
      <c r="F216" s="73">
        <f>SUM(G216:R216)</f>
        <v>6875.46</v>
      </c>
      <c r="G216" s="74">
        <v>431</v>
      </c>
      <c r="H216" s="74">
        <v>452</v>
      </c>
      <c r="I216" s="74">
        <v>452</v>
      </c>
      <c r="J216" s="74">
        <v>452</v>
      </c>
      <c r="K216" s="74">
        <v>1808</v>
      </c>
      <c r="L216" s="74">
        <v>452</v>
      </c>
      <c r="M216" s="74">
        <v>0</v>
      </c>
      <c r="N216" s="74"/>
      <c r="O216" s="74">
        <v>904</v>
      </c>
      <c r="P216" s="74">
        <f>431.1+200.26</f>
        <v>631.36</v>
      </c>
      <c r="Q216" s="74">
        <v>431.1</v>
      </c>
      <c r="R216" s="74">
        <v>862</v>
      </c>
      <c r="S216" s="29"/>
      <c r="Z216" s="72">
        <v>6875.46</v>
      </c>
      <c r="AA216" s="45">
        <f t="shared" si="98"/>
        <v>0</v>
      </c>
      <c r="AG216" s="32">
        <f>+F216*1.03</f>
        <v>7081.7238000000007</v>
      </c>
      <c r="AH216" s="51">
        <f t="shared" si="101"/>
        <v>206.26380000000063</v>
      </c>
      <c r="AI216" s="45">
        <f>+F216</f>
        <v>6875.46</v>
      </c>
    </row>
    <row r="217" spans="2:35" x14ac:dyDescent="0.2">
      <c r="B217" s="69" t="s">
        <v>426</v>
      </c>
      <c r="C217" s="69" t="s">
        <v>260</v>
      </c>
      <c r="D217" s="70" t="s">
        <v>427</v>
      </c>
      <c r="E217" s="60"/>
      <c r="F217" s="73">
        <f>SUM(G217:R217)</f>
        <v>1840.61</v>
      </c>
      <c r="G217" s="74">
        <v>0</v>
      </c>
      <c r="H217" s="74">
        <v>0</v>
      </c>
      <c r="I217" s="74">
        <v>0</v>
      </c>
      <c r="J217" s="74">
        <f>1787+53.61</f>
        <v>1840.61</v>
      </c>
      <c r="K217" s="74">
        <v>0</v>
      </c>
      <c r="L217" s="74">
        <v>0</v>
      </c>
      <c r="M217" s="74">
        <v>0</v>
      </c>
      <c r="N217" s="74">
        <v>0</v>
      </c>
      <c r="O217" s="74">
        <v>0</v>
      </c>
      <c r="P217" s="74">
        <v>0</v>
      </c>
      <c r="Q217" s="74">
        <v>0</v>
      </c>
      <c r="R217" s="74">
        <v>0</v>
      </c>
      <c r="S217" s="29"/>
      <c r="Z217" s="72">
        <v>1840.61</v>
      </c>
      <c r="AA217" s="45">
        <f t="shared" si="98"/>
        <v>0</v>
      </c>
      <c r="AG217" s="32">
        <f>1787*1.03</f>
        <v>1840.6100000000001</v>
      </c>
      <c r="AH217" s="51">
        <f t="shared" si="101"/>
        <v>0</v>
      </c>
      <c r="AI217" s="45">
        <f>+F217</f>
        <v>1840.61</v>
      </c>
    </row>
    <row r="218" spans="2:35" x14ac:dyDescent="0.2">
      <c r="B218" s="69" t="s">
        <v>428</v>
      </c>
      <c r="C218" s="69" t="s">
        <v>260</v>
      </c>
      <c r="D218" s="70" t="s">
        <v>429</v>
      </c>
      <c r="E218" s="60"/>
      <c r="F218" s="73">
        <f>SUM(G218:R218)</f>
        <v>757.15000000000009</v>
      </c>
      <c r="G218" s="74">
        <v>0</v>
      </c>
      <c r="H218" s="74">
        <v>0</v>
      </c>
      <c r="I218" s="74">
        <v>0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376</v>
      </c>
      <c r="P218" s="74">
        <v>0</v>
      </c>
      <c r="Q218" s="74">
        <f>359.1+22.05</f>
        <v>381.15000000000003</v>
      </c>
      <c r="R218" s="74">
        <v>0</v>
      </c>
      <c r="S218" s="29"/>
      <c r="Z218" s="72">
        <v>757.15</v>
      </c>
      <c r="AA218" s="45">
        <f t="shared" si="98"/>
        <v>0</v>
      </c>
      <c r="AG218" s="32">
        <f>735.1*1.03</f>
        <v>757.15300000000002</v>
      </c>
      <c r="AH218" s="51">
        <f t="shared" si="101"/>
        <v>2.9999999999290594E-3</v>
      </c>
      <c r="AI218" s="45">
        <f>+F218</f>
        <v>757.15000000000009</v>
      </c>
    </row>
    <row r="219" spans="2:35" x14ac:dyDescent="0.2">
      <c r="B219" s="57" t="s">
        <v>430</v>
      </c>
      <c r="C219" s="57"/>
      <c r="D219" s="59" t="s">
        <v>431</v>
      </c>
      <c r="E219" s="60"/>
      <c r="F219" s="77">
        <f>SUM(F220:F224)</f>
        <v>154323.25000000003</v>
      </c>
      <c r="G219" s="78">
        <f t="shared" ref="G219:R219" si="104">SUM(G220:G224)</f>
        <v>13692</v>
      </c>
      <c r="H219" s="78">
        <f t="shared" si="104"/>
        <v>13897</v>
      </c>
      <c r="I219" s="78">
        <f t="shared" si="104"/>
        <v>15618</v>
      </c>
      <c r="J219" s="78">
        <f t="shared" si="104"/>
        <v>13561</v>
      </c>
      <c r="K219" s="78">
        <f t="shared" si="104"/>
        <v>13141</v>
      </c>
      <c r="L219" s="78">
        <f t="shared" si="104"/>
        <v>9054</v>
      </c>
      <c r="M219" s="78">
        <f t="shared" si="104"/>
        <v>0</v>
      </c>
      <c r="N219" s="78">
        <f t="shared" si="104"/>
        <v>4229.41</v>
      </c>
      <c r="O219" s="78">
        <f t="shared" si="104"/>
        <v>40402</v>
      </c>
      <c r="P219" s="78">
        <f t="shared" si="104"/>
        <v>10079.040000000001</v>
      </c>
      <c r="Q219" s="78">
        <f t="shared" si="104"/>
        <v>11089.8</v>
      </c>
      <c r="R219" s="78">
        <f t="shared" si="104"/>
        <v>9560</v>
      </c>
      <c r="S219" s="29"/>
      <c r="Z219" s="48">
        <f t="shared" ref="Z219" si="105">SUM(Z220:Z224)</f>
        <v>154323.25</v>
      </c>
      <c r="AA219" s="45">
        <f t="shared" si="98"/>
        <v>0</v>
      </c>
      <c r="AH219" s="51">
        <f t="shared" si="101"/>
        <v>-154323.25000000003</v>
      </c>
      <c r="AI219" s="45"/>
    </row>
    <row r="220" spans="2:35" x14ac:dyDescent="0.2">
      <c r="B220" s="69" t="s">
        <v>432</v>
      </c>
      <c r="C220" s="69" t="s">
        <v>260</v>
      </c>
      <c r="D220" s="70" t="s">
        <v>433</v>
      </c>
      <c r="E220" s="60"/>
      <c r="F220" s="73">
        <f>SUM(G220:R220)</f>
        <v>127314.59000000001</v>
      </c>
      <c r="G220" s="74">
        <v>11960</v>
      </c>
      <c r="H220" s="74">
        <v>10660</v>
      </c>
      <c r="I220" s="74">
        <v>11076</v>
      </c>
      <c r="J220" s="74">
        <v>10036</v>
      </c>
      <c r="K220" s="74">
        <v>10400</v>
      </c>
      <c r="L220" s="74">
        <v>7540</v>
      </c>
      <c r="M220" s="74">
        <v>0</v>
      </c>
      <c r="N220" s="74">
        <v>3708.19</v>
      </c>
      <c r="O220" s="74">
        <v>35360</v>
      </c>
      <c r="P220" s="74">
        <v>9813.6</v>
      </c>
      <c r="Q220" s="74">
        <v>9480.7999999999993</v>
      </c>
      <c r="R220" s="74">
        <v>7280</v>
      </c>
      <c r="S220" s="29"/>
      <c r="Z220" s="72">
        <v>127314.59</v>
      </c>
      <c r="AA220" s="45">
        <f t="shared" si="98"/>
        <v>0</v>
      </c>
      <c r="AG220" s="32">
        <f>123606.4*1.03</f>
        <v>127314.592</v>
      </c>
      <c r="AH220" s="51">
        <f t="shared" si="101"/>
        <v>1.999999993131496E-3</v>
      </c>
      <c r="AI220" s="45">
        <f>+F220</f>
        <v>127314.59000000001</v>
      </c>
    </row>
    <row r="221" spans="2:35" x14ac:dyDescent="0.2">
      <c r="B221" s="69" t="s">
        <v>434</v>
      </c>
      <c r="C221" s="69" t="s">
        <v>260</v>
      </c>
      <c r="D221" s="70" t="s">
        <v>435</v>
      </c>
      <c r="E221" s="60"/>
      <c r="F221" s="73">
        <f>SUM(G221:R221)</f>
        <v>3630.13</v>
      </c>
      <c r="G221" s="74">
        <v>525</v>
      </c>
      <c r="H221" s="74">
        <v>468</v>
      </c>
      <c r="I221" s="74">
        <v>468</v>
      </c>
      <c r="J221" s="74">
        <v>234</v>
      </c>
      <c r="K221" s="74">
        <v>156</v>
      </c>
      <c r="L221" s="74">
        <v>156</v>
      </c>
      <c r="M221" s="74">
        <v>0</v>
      </c>
      <c r="N221" s="74">
        <v>105.73</v>
      </c>
      <c r="O221" s="74">
        <v>468</v>
      </c>
      <c r="P221" s="74">
        <v>0</v>
      </c>
      <c r="Q221" s="74">
        <v>524.4</v>
      </c>
      <c r="R221" s="74">
        <v>525</v>
      </c>
      <c r="S221" s="29"/>
      <c r="Z221" s="72">
        <v>3630.13</v>
      </c>
      <c r="AA221" s="45">
        <f t="shared" si="98"/>
        <v>0</v>
      </c>
      <c r="AG221" s="32">
        <f>3524.4*1.03</f>
        <v>3630.1320000000001</v>
      </c>
      <c r="AH221" s="51">
        <f t="shared" si="101"/>
        <v>1.9999999999527063E-3</v>
      </c>
      <c r="AI221" s="45">
        <f>+F221</f>
        <v>3630.13</v>
      </c>
    </row>
    <row r="222" spans="2:35" x14ac:dyDescent="0.2">
      <c r="B222" s="69" t="s">
        <v>436</v>
      </c>
      <c r="C222" s="69" t="s">
        <v>260</v>
      </c>
      <c r="D222" s="70" t="s">
        <v>437</v>
      </c>
      <c r="E222" s="60"/>
      <c r="F222" s="73">
        <f>SUM(G222:R222)</f>
        <v>14265.09</v>
      </c>
      <c r="G222" s="74">
        <v>775</v>
      </c>
      <c r="H222" s="74">
        <v>489</v>
      </c>
      <c r="I222" s="74">
        <v>2934</v>
      </c>
      <c r="J222" s="74">
        <v>1467</v>
      </c>
      <c r="K222" s="74">
        <v>1141</v>
      </c>
      <c r="L222" s="74">
        <v>978</v>
      </c>
      <c r="M222" s="74">
        <v>0</v>
      </c>
      <c r="N222" s="74">
        <v>415.49</v>
      </c>
      <c r="O222" s="74">
        <v>3586</v>
      </c>
      <c r="P222" s="74">
        <v>0</v>
      </c>
      <c r="Q222" s="74">
        <v>1084.5999999999999</v>
      </c>
      <c r="R222" s="74">
        <v>1395</v>
      </c>
      <c r="S222" s="29"/>
      <c r="Z222" s="72">
        <v>14265.09</v>
      </c>
      <c r="AA222" s="45">
        <f t="shared" si="98"/>
        <v>0</v>
      </c>
      <c r="AG222" s="32">
        <f>13849.6*1.03</f>
        <v>14265.088000000002</v>
      </c>
      <c r="AH222" s="51">
        <f t="shared" si="101"/>
        <v>-1.9999999985884642E-3</v>
      </c>
      <c r="AI222" s="45">
        <f>+F222</f>
        <v>14265.09</v>
      </c>
    </row>
    <row r="223" spans="2:35" x14ac:dyDescent="0.2">
      <c r="B223" s="69" t="s">
        <v>438</v>
      </c>
      <c r="C223" s="69" t="s">
        <v>260</v>
      </c>
      <c r="D223" s="70" t="s">
        <v>439</v>
      </c>
      <c r="E223" s="60"/>
      <c r="F223" s="73">
        <f>SUM(G223:R223)</f>
        <v>0</v>
      </c>
      <c r="G223" s="74">
        <v>0</v>
      </c>
      <c r="H223" s="74">
        <v>0</v>
      </c>
      <c r="I223" s="74">
        <v>0</v>
      </c>
      <c r="J223" s="74">
        <v>0</v>
      </c>
      <c r="K223" s="74">
        <v>0</v>
      </c>
      <c r="L223" s="74">
        <v>0</v>
      </c>
      <c r="M223" s="74">
        <v>0</v>
      </c>
      <c r="N223" s="74">
        <v>0</v>
      </c>
      <c r="O223" s="74">
        <v>0</v>
      </c>
      <c r="P223" s="74">
        <v>0</v>
      </c>
      <c r="Q223" s="74">
        <v>0</v>
      </c>
      <c r="R223" s="74">
        <v>0</v>
      </c>
      <c r="S223" s="29"/>
      <c r="Z223" s="72">
        <v>0</v>
      </c>
      <c r="AA223" s="45">
        <f t="shared" si="98"/>
        <v>0</v>
      </c>
      <c r="AH223" s="51">
        <f t="shared" si="101"/>
        <v>0</v>
      </c>
      <c r="AI223" s="45">
        <f>+F223</f>
        <v>0</v>
      </c>
    </row>
    <row r="224" spans="2:35" x14ac:dyDescent="0.2">
      <c r="B224" s="69" t="s">
        <v>440</v>
      </c>
      <c r="C224" s="69" t="s">
        <v>260</v>
      </c>
      <c r="D224" s="70" t="s">
        <v>441</v>
      </c>
      <c r="E224" s="60"/>
      <c r="F224" s="73">
        <f>SUM(G224:R224)</f>
        <v>9113.44</v>
      </c>
      <c r="G224" s="74">
        <v>432</v>
      </c>
      <c r="H224" s="74">
        <v>2280</v>
      </c>
      <c r="I224" s="74">
        <v>1140</v>
      </c>
      <c r="J224" s="74">
        <v>1824</v>
      </c>
      <c r="K224" s="74">
        <v>1444</v>
      </c>
      <c r="L224" s="74">
        <v>380</v>
      </c>
      <c r="M224" s="74">
        <v>0</v>
      </c>
      <c r="N224" s="74">
        <v>0</v>
      </c>
      <c r="O224" s="74">
        <v>988</v>
      </c>
      <c r="P224" s="74">
        <v>265.44</v>
      </c>
      <c r="Q224" s="74">
        <v>0</v>
      </c>
      <c r="R224" s="74">
        <v>360</v>
      </c>
      <c r="S224" s="29"/>
      <c r="Z224" s="72">
        <v>9113.44</v>
      </c>
      <c r="AA224" s="45">
        <f t="shared" si="98"/>
        <v>0</v>
      </c>
      <c r="AG224" s="32">
        <f>8848*1.03</f>
        <v>9113.44</v>
      </c>
      <c r="AH224" s="51">
        <f t="shared" si="101"/>
        <v>0</v>
      </c>
      <c r="AI224" s="45">
        <f>+F224</f>
        <v>9113.44</v>
      </c>
    </row>
    <row r="225" spans="2:35" x14ac:dyDescent="0.2">
      <c r="B225" s="57" t="s">
        <v>442</v>
      </c>
      <c r="C225" s="57"/>
      <c r="D225" s="59" t="s">
        <v>443</v>
      </c>
      <c r="E225" s="60"/>
      <c r="F225" s="77">
        <f>+F226</f>
        <v>4349.38</v>
      </c>
      <c r="G225" s="78">
        <f t="shared" ref="G225:Z225" si="106">+G226</f>
        <v>0</v>
      </c>
      <c r="H225" s="78">
        <f t="shared" si="106"/>
        <v>975.46</v>
      </c>
      <c r="I225" s="78">
        <f t="shared" si="106"/>
        <v>1418.88</v>
      </c>
      <c r="J225" s="78">
        <f t="shared" si="106"/>
        <v>803.34</v>
      </c>
      <c r="K225" s="78">
        <f t="shared" si="106"/>
        <v>508.6</v>
      </c>
      <c r="L225" s="78">
        <f t="shared" si="106"/>
        <v>516.41999999999996</v>
      </c>
      <c r="M225" s="78">
        <f t="shared" si="106"/>
        <v>0</v>
      </c>
      <c r="N225" s="78">
        <f t="shared" si="106"/>
        <v>126.68</v>
      </c>
      <c r="O225" s="78">
        <f t="shared" si="106"/>
        <v>0</v>
      </c>
      <c r="P225" s="78">
        <f t="shared" si="106"/>
        <v>0</v>
      </c>
      <c r="Q225" s="78">
        <f t="shared" si="106"/>
        <v>0</v>
      </c>
      <c r="R225" s="78">
        <f t="shared" si="106"/>
        <v>0</v>
      </c>
      <c r="S225" s="81">
        <f t="shared" si="106"/>
        <v>0</v>
      </c>
      <c r="T225" s="81"/>
      <c r="U225" s="81"/>
      <c r="V225" s="81"/>
      <c r="W225" s="81"/>
      <c r="X225" s="81"/>
      <c r="Y225" s="81"/>
      <c r="Z225" s="48">
        <f t="shared" si="106"/>
        <v>4349.38</v>
      </c>
      <c r="AA225" s="45">
        <f t="shared" si="98"/>
        <v>0</v>
      </c>
      <c r="AB225" s="82"/>
      <c r="AC225" s="82"/>
      <c r="AD225" s="82"/>
      <c r="AE225" s="82"/>
      <c r="AF225" s="82"/>
      <c r="AH225" s="51">
        <f t="shared" si="101"/>
        <v>-4349.38</v>
      </c>
      <c r="AI225" s="45"/>
    </row>
    <row r="226" spans="2:35" x14ac:dyDescent="0.2">
      <c r="B226" s="69" t="s">
        <v>444</v>
      </c>
      <c r="C226" s="69" t="s">
        <v>176</v>
      </c>
      <c r="D226" s="70" t="s">
        <v>445</v>
      </c>
      <c r="E226" s="60"/>
      <c r="F226" s="73">
        <f>SUM(G226:R226)</f>
        <v>4349.38</v>
      </c>
      <c r="G226" s="74">
        <v>0</v>
      </c>
      <c r="H226" s="74">
        <v>975.46</v>
      </c>
      <c r="I226" s="74">
        <v>1418.88</v>
      </c>
      <c r="J226" s="74">
        <v>803.34</v>
      </c>
      <c r="K226" s="74">
        <v>508.6</v>
      </c>
      <c r="L226" s="74">
        <v>516.41999999999996</v>
      </c>
      <c r="M226" s="74">
        <v>0</v>
      </c>
      <c r="N226" s="74">
        <v>126.68</v>
      </c>
      <c r="O226" s="74">
        <v>0</v>
      </c>
      <c r="P226" s="74">
        <v>0</v>
      </c>
      <c r="Q226" s="74">
        <v>0</v>
      </c>
      <c r="R226" s="74">
        <v>0</v>
      </c>
      <c r="S226" s="29"/>
      <c r="Z226" s="72">
        <v>4349.38</v>
      </c>
      <c r="AA226" s="45">
        <f t="shared" si="98"/>
        <v>0</v>
      </c>
      <c r="AG226" s="32">
        <f>4222.7*1.03</f>
        <v>4349.3810000000003</v>
      </c>
      <c r="AH226" s="51">
        <f t="shared" si="101"/>
        <v>1.0000000002037268E-3</v>
      </c>
      <c r="AI226" s="45">
        <f>+F226</f>
        <v>4349.38</v>
      </c>
    </row>
    <row r="227" spans="2:35" x14ac:dyDescent="0.2">
      <c r="B227" s="57" t="s">
        <v>446</v>
      </c>
      <c r="C227" s="57"/>
      <c r="D227" s="59" t="s">
        <v>317</v>
      </c>
      <c r="E227" s="60"/>
      <c r="F227" s="77">
        <f>SUM(F228:F229)</f>
        <v>6495.35</v>
      </c>
      <c r="G227" s="78">
        <f t="shared" ref="G227:R227" si="107">SUM(G228:G229)</f>
        <v>0</v>
      </c>
      <c r="H227" s="78">
        <f t="shared" si="107"/>
        <v>2461.48</v>
      </c>
      <c r="I227" s="78">
        <f t="shared" si="107"/>
        <v>514.59</v>
      </c>
      <c r="J227" s="78">
        <f t="shared" si="107"/>
        <v>1689.48</v>
      </c>
      <c r="K227" s="78">
        <f t="shared" si="107"/>
        <v>1230.74</v>
      </c>
      <c r="L227" s="78">
        <f t="shared" si="107"/>
        <v>599.06000000000006</v>
      </c>
      <c r="M227" s="78">
        <f t="shared" si="107"/>
        <v>0</v>
      </c>
      <c r="N227" s="78">
        <f t="shared" si="107"/>
        <v>0</v>
      </c>
      <c r="O227" s="78">
        <f t="shared" si="107"/>
        <v>0</v>
      </c>
      <c r="P227" s="78">
        <f t="shared" si="107"/>
        <v>0</v>
      </c>
      <c r="Q227" s="78">
        <f t="shared" si="107"/>
        <v>0</v>
      </c>
      <c r="R227" s="78">
        <f t="shared" si="107"/>
        <v>0</v>
      </c>
      <c r="S227" s="29"/>
      <c r="Z227" s="48">
        <f t="shared" ref="Z227" si="108">SUM(Z228:Z229)</f>
        <v>6495.35</v>
      </c>
      <c r="AA227" s="45">
        <f t="shared" si="98"/>
        <v>0</v>
      </c>
      <c r="AH227" s="51">
        <f t="shared" si="101"/>
        <v>-6495.35</v>
      </c>
      <c r="AI227" s="45"/>
    </row>
    <row r="228" spans="2:35" x14ac:dyDescent="0.2">
      <c r="B228" s="69" t="s">
        <v>447</v>
      </c>
      <c r="C228" s="69" t="s">
        <v>27</v>
      </c>
      <c r="D228" s="70" t="s">
        <v>448</v>
      </c>
      <c r="E228" s="60"/>
      <c r="F228" s="73">
        <f>SUM(G228:R228)</f>
        <v>3595.38</v>
      </c>
      <c r="G228" s="74">
        <v>0</v>
      </c>
      <c r="H228" s="74">
        <v>2461.48</v>
      </c>
      <c r="I228" s="74">
        <v>514.59</v>
      </c>
      <c r="J228" s="74">
        <f>514.59+104.72</f>
        <v>619.31000000000006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4">
        <v>0</v>
      </c>
      <c r="Q228" s="74">
        <v>0</v>
      </c>
      <c r="R228" s="74">
        <v>0</v>
      </c>
      <c r="S228" s="29"/>
      <c r="Z228" s="72">
        <v>3595.38</v>
      </c>
      <c r="AA228" s="45">
        <f t="shared" si="98"/>
        <v>0</v>
      </c>
      <c r="AG228" s="32">
        <f>3490.66*1.03</f>
        <v>3595.3798000000002</v>
      </c>
      <c r="AH228" s="51">
        <f t="shared" si="101"/>
        <v>-1.9999999994979589E-4</v>
      </c>
      <c r="AI228" s="45">
        <f>+F228</f>
        <v>3595.38</v>
      </c>
    </row>
    <row r="229" spans="2:35" x14ac:dyDescent="0.2">
      <c r="B229" s="69" t="s">
        <v>449</v>
      </c>
      <c r="C229" s="69" t="s">
        <v>27</v>
      </c>
      <c r="D229" s="70" t="s">
        <v>450</v>
      </c>
      <c r="E229" s="60"/>
      <c r="F229" s="73">
        <f>SUM(G229:R229)</f>
        <v>2899.97</v>
      </c>
      <c r="G229" s="74">
        <v>0</v>
      </c>
      <c r="H229" s="74">
        <v>0</v>
      </c>
      <c r="I229" s="74">
        <v>0</v>
      </c>
      <c r="J229" s="74">
        <v>1070.17</v>
      </c>
      <c r="K229" s="74">
        <v>1230.74</v>
      </c>
      <c r="L229" s="74">
        <f>514.59+84.47</f>
        <v>599.06000000000006</v>
      </c>
      <c r="M229" s="74">
        <v>0</v>
      </c>
      <c r="N229" s="74">
        <v>0</v>
      </c>
      <c r="O229" s="74">
        <v>0</v>
      </c>
      <c r="P229" s="74">
        <v>0</v>
      </c>
      <c r="Q229" s="74">
        <v>0</v>
      </c>
      <c r="R229" s="74">
        <v>0</v>
      </c>
      <c r="S229" s="29"/>
      <c r="Z229" s="72">
        <v>2899.97</v>
      </c>
      <c r="AA229" s="45">
        <f t="shared" si="98"/>
        <v>0</v>
      </c>
      <c r="AG229" s="32">
        <f>2815.5*1.03</f>
        <v>2899.9650000000001</v>
      </c>
      <c r="AH229" s="51">
        <f t="shared" si="101"/>
        <v>-4.999999999654392E-3</v>
      </c>
      <c r="AI229" s="45">
        <f>+F229</f>
        <v>2899.97</v>
      </c>
    </row>
    <row r="230" spans="2:35" x14ac:dyDescent="0.2">
      <c r="B230" s="57" t="s">
        <v>451</v>
      </c>
      <c r="C230" s="57"/>
      <c r="D230" s="59" t="s">
        <v>452</v>
      </c>
      <c r="E230" s="60"/>
      <c r="F230" s="77">
        <f>+F231+F233+F241</f>
        <v>272946.62</v>
      </c>
      <c r="G230" s="78">
        <f t="shared" ref="G230:R230" si="109">+G231+G233+G241</f>
        <v>52590.45</v>
      </c>
      <c r="H230" s="78">
        <f t="shared" si="109"/>
        <v>49845.93</v>
      </c>
      <c r="I230" s="78">
        <f t="shared" si="109"/>
        <v>49182.520000000004</v>
      </c>
      <c r="J230" s="78">
        <f t="shared" si="109"/>
        <v>28888.739999999998</v>
      </c>
      <c r="K230" s="78">
        <f t="shared" si="109"/>
        <v>1257.05</v>
      </c>
      <c r="L230" s="78">
        <f t="shared" si="109"/>
        <v>121.27</v>
      </c>
      <c r="M230" s="78">
        <f t="shared" si="109"/>
        <v>44.69</v>
      </c>
      <c r="N230" s="78">
        <f t="shared" si="109"/>
        <v>0</v>
      </c>
      <c r="O230" s="78">
        <f t="shared" si="109"/>
        <v>31292.85</v>
      </c>
      <c r="P230" s="78">
        <f t="shared" si="109"/>
        <v>4254.8500000000004</v>
      </c>
      <c r="Q230" s="78">
        <f t="shared" si="109"/>
        <v>55468.27</v>
      </c>
      <c r="R230" s="78">
        <f t="shared" si="109"/>
        <v>0</v>
      </c>
      <c r="S230" s="29"/>
      <c r="Z230" s="48">
        <f t="shared" ref="Z230" si="110">+Z231+Z233+Z241</f>
        <v>272946.62</v>
      </c>
      <c r="AA230" s="45">
        <f t="shared" si="98"/>
        <v>0</v>
      </c>
      <c r="AH230" s="51">
        <f t="shared" si="101"/>
        <v>-272946.62</v>
      </c>
      <c r="AI230" s="45"/>
    </row>
    <row r="231" spans="2:35" x14ac:dyDescent="0.2">
      <c r="B231" s="57" t="s">
        <v>453</v>
      </c>
      <c r="C231" s="57"/>
      <c r="D231" s="59" t="s">
        <v>454</v>
      </c>
      <c r="E231" s="60"/>
      <c r="F231" s="77">
        <f>+F232</f>
        <v>1864.3</v>
      </c>
      <c r="G231" s="78">
        <f t="shared" ref="G231:Z231" si="111">+G232</f>
        <v>0</v>
      </c>
      <c r="H231" s="78">
        <f t="shared" si="111"/>
        <v>0</v>
      </c>
      <c r="I231" s="78">
        <f t="shared" si="111"/>
        <v>0</v>
      </c>
      <c r="J231" s="78">
        <f t="shared" si="111"/>
        <v>0</v>
      </c>
      <c r="K231" s="78">
        <f t="shared" si="111"/>
        <v>0</v>
      </c>
      <c r="L231" s="78">
        <f t="shared" si="111"/>
        <v>0</v>
      </c>
      <c r="M231" s="78">
        <f t="shared" si="111"/>
        <v>0</v>
      </c>
      <c r="N231" s="78">
        <f t="shared" si="111"/>
        <v>0</v>
      </c>
      <c r="O231" s="78">
        <f t="shared" si="111"/>
        <v>0</v>
      </c>
      <c r="P231" s="78">
        <f t="shared" si="111"/>
        <v>0</v>
      </c>
      <c r="Q231" s="78">
        <f t="shared" si="111"/>
        <v>1864.3</v>
      </c>
      <c r="R231" s="78">
        <f t="shared" si="111"/>
        <v>0</v>
      </c>
      <c r="S231" s="29"/>
      <c r="Z231" s="48">
        <f t="shared" si="111"/>
        <v>1864.3</v>
      </c>
      <c r="AA231" s="45">
        <f t="shared" si="98"/>
        <v>0</v>
      </c>
      <c r="AH231" s="51">
        <f t="shared" si="101"/>
        <v>-1864.3</v>
      </c>
      <c r="AI231" s="45"/>
    </row>
    <row r="232" spans="2:35" x14ac:dyDescent="0.2">
      <c r="B232" s="69" t="s">
        <v>455</v>
      </c>
      <c r="C232" s="69" t="s">
        <v>135</v>
      </c>
      <c r="D232" s="70" t="s">
        <v>142</v>
      </c>
      <c r="E232" s="60"/>
      <c r="F232" s="73">
        <f>SUM(G232:R232)</f>
        <v>1864.3</v>
      </c>
      <c r="G232" s="74">
        <v>0</v>
      </c>
      <c r="H232" s="74">
        <v>0</v>
      </c>
      <c r="I232" s="74">
        <v>0</v>
      </c>
      <c r="J232" s="74">
        <v>0</v>
      </c>
      <c r="K232" s="74">
        <v>0</v>
      </c>
      <c r="L232" s="74">
        <v>0</v>
      </c>
      <c r="M232" s="74">
        <v>0</v>
      </c>
      <c r="N232" s="74">
        <v>0</v>
      </c>
      <c r="O232" s="74">
        <v>0</v>
      </c>
      <c r="P232" s="74">
        <v>0</v>
      </c>
      <c r="Q232" s="74">
        <f>1810+54.3</f>
        <v>1864.3</v>
      </c>
      <c r="R232" s="74">
        <v>0</v>
      </c>
      <c r="S232" s="29"/>
      <c r="Z232" s="72">
        <v>1864.3</v>
      </c>
      <c r="AA232" s="45">
        <f t="shared" si="98"/>
        <v>0</v>
      </c>
      <c r="AG232" s="32">
        <f>1810*1.03</f>
        <v>1864.3</v>
      </c>
      <c r="AH232" s="51">
        <f t="shared" si="101"/>
        <v>0</v>
      </c>
      <c r="AI232" s="45">
        <f>+F232</f>
        <v>1864.3</v>
      </c>
    </row>
    <row r="233" spans="2:35" x14ac:dyDescent="0.2">
      <c r="B233" s="57" t="s">
        <v>456</v>
      </c>
      <c r="C233" s="57"/>
      <c r="D233" s="59" t="s">
        <v>457</v>
      </c>
      <c r="E233" s="60"/>
      <c r="F233" s="77">
        <f>SUM(F234:F240)</f>
        <v>80670.94</v>
      </c>
      <c r="G233" s="78">
        <f t="shared" ref="G233:S233" si="112">SUM(G234:G240)</f>
        <v>26110.449999999997</v>
      </c>
      <c r="H233" s="78">
        <f t="shared" si="112"/>
        <v>21945.93</v>
      </c>
      <c r="I233" s="78">
        <f t="shared" si="112"/>
        <v>15142.52</v>
      </c>
      <c r="J233" s="78">
        <f t="shared" si="112"/>
        <v>10928.74</v>
      </c>
      <c r="K233" s="78">
        <f t="shared" si="112"/>
        <v>1257.05</v>
      </c>
      <c r="L233" s="78">
        <f t="shared" si="112"/>
        <v>121.27</v>
      </c>
      <c r="M233" s="78">
        <f t="shared" si="112"/>
        <v>44.69</v>
      </c>
      <c r="N233" s="78">
        <f t="shared" si="112"/>
        <v>0</v>
      </c>
      <c r="O233" s="78">
        <f t="shared" si="112"/>
        <v>440.34999999999997</v>
      </c>
      <c r="P233" s="78">
        <f t="shared" si="112"/>
        <v>1774.57</v>
      </c>
      <c r="Q233" s="78">
        <f t="shared" si="112"/>
        <v>2905.37</v>
      </c>
      <c r="R233" s="78">
        <f t="shared" si="112"/>
        <v>0</v>
      </c>
      <c r="S233" s="81">
        <f t="shared" si="112"/>
        <v>0</v>
      </c>
      <c r="T233" s="81"/>
      <c r="U233" s="81"/>
      <c r="V233" s="81"/>
      <c r="W233" s="81"/>
      <c r="X233" s="81"/>
      <c r="Y233" s="81"/>
      <c r="Z233" s="48">
        <f t="shared" ref="Z233" si="113">SUM(Z234:Z240)</f>
        <v>80670.94</v>
      </c>
      <c r="AA233" s="45">
        <f t="shared" si="98"/>
        <v>0</v>
      </c>
      <c r="AB233" s="82"/>
      <c r="AC233" s="82"/>
      <c r="AD233" s="82"/>
      <c r="AE233" s="82"/>
      <c r="AF233" s="82"/>
      <c r="AH233" s="51">
        <f t="shared" si="101"/>
        <v>-80670.94</v>
      </c>
      <c r="AI233" s="45"/>
    </row>
    <row r="234" spans="2:35" x14ac:dyDescent="0.2">
      <c r="B234" s="69" t="s">
        <v>458</v>
      </c>
      <c r="C234" s="69" t="s">
        <v>233</v>
      </c>
      <c r="D234" s="70" t="s">
        <v>459</v>
      </c>
      <c r="E234" s="60"/>
      <c r="F234" s="73">
        <f t="shared" ref="F234:F240" si="114">SUM(G234:R234)</f>
        <v>89.38</v>
      </c>
      <c r="G234" s="74">
        <v>0</v>
      </c>
      <c r="H234" s="74">
        <v>0</v>
      </c>
      <c r="I234" s="74">
        <v>0</v>
      </c>
      <c r="J234" s="74">
        <v>0</v>
      </c>
      <c r="K234" s="74">
        <v>0</v>
      </c>
      <c r="L234" s="74">
        <v>44.69</v>
      </c>
      <c r="M234" s="74">
        <v>44.69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29"/>
      <c r="Z234" s="72">
        <v>89.38</v>
      </c>
      <c r="AA234" s="45">
        <f t="shared" si="98"/>
        <v>0</v>
      </c>
      <c r="AG234" s="32">
        <f>44.69*1.03</f>
        <v>46.030699999999996</v>
      </c>
      <c r="AH234" s="51">
        <f t="shared" si="101"/>
        <v>-43.349299999999999</v>
      </c>
      <c r="AI234" s="45">
        <f t="shared" ref="AI234:AI240" si="115">+F234</f>
        <v>89.38</v>
      </c>
    </row>
    <row r="235" spans="2:35" x14ac:dyDescent="0.2">
      <c r="B235" s="69" t="s">
        <v>460</v>
      </c>
      <c r="C235" s="69" t="s">
        <v>233</v>
      </c>
      <c r="D235" s="70" t="s">
        <v>461</v>
      </c>
      <c r="E235" s="60"/>
      <c r="F235" s="73">
        <f t="shared" si="114"/>
        <v>1033.8599999999999</v>
      </c>
      <c r="G235" s="74">
        <v>0</v>
      </c>
      <c r="H235" s="74">
        <v>0</v>
      </c>
      <c r="I235" s="74">
        <v>176.14</v>
      </c>
      <c r="J235" s="74">
        <v>352.28</v>
      </c>
      <c r="K235" s="74">
        <v>76.58</v>
      </c>
      <c r="L235" s="74">
        <v>76.58</v>
      </c>
      <c r="M235" s="74">
        <v>0</v>
      </c>
      <c r="N235" s="74">
        <v>0</v>
      </c>
      <c r="O235" s="74">
        <v>264.20999999999998</v>
      </c>
      <c r="P235" s="74">
        <v>88.07</v>
      </c>
      <c r="Q235" s="74">
        <v>0</v>
      </c>
      <c r="R235" s="74">
        <v>0</v>
      </c>
      <c r="S235" s="29"/>
      <c r="Z235" s="72">
        <v>1033.8599999999999</v>
      </c>
      <c r="AA235" s="45">
        <f t="shared" si="98"/>
        <v>0</v>
      </c>
      <c r="AG235" s="32">
        <f>945.79*1.03</f>
        <v>974.16369999999995</v>
      </c>
      <c r="AH235" s="51">
        <f t="shared" si="101"/>
        <v>-59.696299999999951</v>
      </c>
      <c r="AI235" s="45">
        <f t="shared" si="115"/>
        <v>1033.8599999999999</v>
      </c>
    </row>
    <row r="236" spans="2:35" x14ac:dyDescent="0.2">
      <c r="B236" s="69" t="s">
        <v>462</v>
      </c>
      <c r="C236" s="69" t="s">
        <v>233</v>
      </c>
      <c r="D236" s="70" t="s">
        <v>463</v>
      </c>
      <c r="E236" s="60"/>
      <c r="F236" s="73">
        <f t="shared" si="114"/>
        <v>189.04999999999998</v>
      </c>
      <c r="G236" s="74">
        <v>0</v>
      </c>
      <c r="H236" s="74">
        <v>0</v>
      </c>
      <c r="I236" s="74">
        <v>0</v>
      </c>
      <c r="J236" s="74">
        <v>0</v>
      </c>
      <c r="K236" s="74">
        <v>0</v>
      </c>
      <c r="L236" s="74">
        <v>0</v>
      </c>
      <c r="M236" s="74">
        <v>0</v>
      </c>
      <c r="N236" s="74">
        <v>0</v>
      </c>
      <c r="O236" s="74">
        <v>176.14</v>
      </c>
      <c r="P236" s="74">
        <v>12.91</v>
      </c>
      <c r="Q236" s="74">
        <v>0</v>
      </c>
      <c r="R236" s="74">
        <v>0</v>
      </c>
      <c r="S236" s="29"/>
      <c r="Z236" s="72">
        <v>189.05</v>
      </c>
      <c r="AA236" s="45">
        <f t="shared" si="98"/>
        <v>0</v>
      </c>
      <c r="AG236" s="32">
        <f>176.14*1.03</f>
        <v>181.42419999999998</v>
      </c>
      <c r="AH236" s="51">
        <f t="shared" si="101"/>
        <v>-7.6257999999999981</v>
      </c>
      <c r="AI236" s="45">
        <f t="shared" si="115"/>
        <v>189.04999999999998</v>
      </c>
    </row>
    <row r="237" spans="2:35" x14ac:dyDescent="0.2">
      <c r="B237" s="69" t="s">
        <v>464</v>
      </c>
      <c r="C237" s="69" t="s">
        <v>233</v>
      </c>
      <c r="D237" s="70" t="s">
        <v>465</v>
      </c>
      <c r="E237" s="60"/>
      <c r="F237" s="73">
        <f t="shared" si="114"/>
        <v>53662.54</v>
      </c>
      <c r="G237" s="74">
        <v>25592.92</v>
      </c>
      <c r="H237" s="74">
        <v>10742.54</v>
      </c>
      <c r="I237" s="74">
        <v>11837.7</v>
      </c>
      <c r="J237" s="74">
        <v>2745.92</v>
      </c>
      <c r="K237" s="74">
        <v>1180.47</v>
      </c>
      <c r="L237" s="74">
        <v>0</v>
      </c>
      <c r="M237" s="74">
        <v>0</v>
      </c>
      <c r="N237" s="74">
        <v>0</v>
      </c>
      <c r="O237" s="74">
        <v>0</v>
      </c>
      <c r="P237" s="74">
        <v>1562.99</v>
      </c>
      <c r="Q237" s="74">
        <v>0</v>
      </c>
      <c r="R237" s="74">
        <v>0</v>
      </c>
      <c r="S237" s="29"/>
      <c r="Z237" s="72">
        <v>53662.54</v>
      </c>
      <c r="AA237" s="45">
        <f t="shared" si="98"/>
        <v>0</v>
      </c>
      <c r="AG237" s="32">
        <f>52099.55*1.03</f>
        <v>53662.536500000002</v>
      </c>
      <c r="AH237" s="51">
        <f t="shared" si="101"/>
        <v>-3.4999999988940544E-3</v>
      </c>
      <c r="AI237" s="45">
        <f t="shared" si="115"/>
        <v>53662.54</v>
      </c>
    </row>
    <row r="238" spans="2:35" x14ac:dyDescent="0.2">
      <c r="B238" s="69" t="s">
        <v>466</v>
      </c>
      <c r="C238" s="69" t="s">
        <v>233</v>
      </c>
      <c r="D238" s="70" t="s">
        <v>467</v>
      </c>
      <c r="E238" s="60"/>
      <c r="F238" s="73">
        <f t="shared" si="114"/>
        <v>1304.17</v>
      </c>
      <c r="G238" s="74">
        <v>244.18</v>
      </c>
      <c r="H238" s="74">
        <v>488.34</v>
      </c>
      <c r="I238" s="74">
        <v>244.17</v>
      </c>
      <c r="J238" s="74">
        <v>0</v>
      </c>
      <c r="K238" s="74">
        <v>0</v>
      </c>
      <c r="L238" s="74">
        <v>0</v>
      </c>
      <c r="M238" s="74">
        <v>0</v>
      </c>
      <c r="N238" s="74">
        <v>0</v>
      </c>
      <c r="O238" s="74">
        <v>0</v>
      </c>
      <c r="P238" s="74">
        <v>110.6</v>
      </c>
      <c r="Q238" s="74">
        <v>216.88</v>
      </c>
      <c r="R238" s="74">
        <v>0</v>
      </c>
      <c r="S238" s="29"/>
      <c r="Z238" s="72">
        <v>1304.17</v>
      </c>
      <c r="AA238" s="45">
        <f t="shared" si="98"/>
        <v>0</v>
      </c>
      <c r="AG238" s="32">
        <f>1193.57*1.03</f>
        <v>1229.3770999999999</v>
      </c>
      <c r="AH238" s="51">
        <f t="shared" si="101"/>
        <v>-74.792900000000145</v>
      </c>
      <c r="AI238" s="45">
        <f t="shared" si="115"/>
        <v>1304.17</v>
      </c>
    </row>
    <row r="239" spans="2:35" x14ac:dyDescent="0.2">
      <c r="B239" s="69" t="s">
        <v>468</v>
      </c>
      <c r="C239" s="69" t="s">
        <v>233</v>
      </c>
      <c r="D239" s="70" t="s">
        <v>469</v>
      </c>
      <c r="E239" s="60"/>
      <c r="F239" s="73">
        <f t="shared" si="114"/>
        <v>822.01</v>
      </c>
      <c r="G239" s="74">
        <v>273.35000000000002</v>
      </c>
      <c r="H239" s="74">
        <v>274.33</v>
      </c>
      <c r="I239" s="74">
        <v>274.33</v>
      </c>
      <c r="J239" s="74">
        <v>0</v>
      </c>
      <c r="K239" s="74">
        <v>0</v>
      </c>
      <c r="L239" s="74">
        <v>0</v>
      </c>
      <c r="M239" s="74">
        <v>0</v>
      </c>
      <c r="N239" s="74">
        <v>0</v>
      </c>
      <c r="O239" s="74">
        <v>0</v>
      </c>
      <c r="P239" s="74">
        <v>0</v>
      </c>
      <c r="Q239" s="74">
        <v>0</v>
      </c>
      <c r="R239" s="74">
        <v>0</v>
      </c>
      <c r="S239" s="29"/>
      <c r="Z239" s="72">
        <v>822.01</v>
      </c>
      <c r="AA239" s="45">
        <f t="shared" si="98"/>
        <v>0</v>
      </c>
      <c r="AG239" s="32">
        <f>822.01*1.03</f>
        <v>846.6703</v>
      </c>
      <c r="AH239" s="51">
        <f t="shared" si="101"/>
        <v>24.660300000000007</v>
      </c>
      <c r="AI239" s="45">
        <f t="shared" si="115"/>
        <v>822.01</v>
      </c>
    </row>
    <row r="240" spans="2:35" x14ac:dyDescent="0.2">
      <c r="B240" s="69" t="s">
        <v>470</v>
      </c>
      <c r="C240" s="69" t="s">
        <v>233</v>
      </c>
      <c r="D240" s="70" t="s">
        <v>471</v>
      </c>
      <c r="E240" s="60"/>
      <c r="F240" s="73">
        <f t="shared" si="114"/>
        <v>23569.93</v>
      </c>
      <c r="G240" s="74">
        <v>0</v>
      </c>
      <c r="H240" s="74">
        <v>10440.719999999999</v>
      </c>
      <c r="I240" s="74">
        <v>2610.1799999999998</v>
      </c>
      <c r="J240" s="74">
        <v>7830.54</v>
      </c>
      <c r="K240" s="74">
        <v>0</v>
      </c>
      <c r="L240" s="74">
        <v>0</v>
      </c>
      <c r="M240" s="74">
        <v>0</v>
      </c>
      <c r="N240" s="74">
        <v>0</v>
      </c>
      <c r="O240" s="74">
        <v>0</v>
      </c>
      <c r="P240" s="74">
        <v>0</v>
      </c>
      <c r="Q240" s="74">
        <v>2688.49</v>
      </c>
      <c r="R240" s="74">
        <v>0</v>
      </c>
      <c r="S240" s="29"/>
      <c r="Z240" s="72">
        <v>23569.93</v>
      </c>
      <c r="AA240" s="45">
        <f t="shared" si="98"/>
        <v>0</v>
      </c>
      <c r="AG240" s="32">
        <f>23440.44*1.03</f>
        <v>24143.653200000001</v>
      </c>
      <c r="AH240" s="51">
        <f t="shared" si="101"/>
        <v>573.72320000000036</v>
      </c>
      <c r="AI240" s="45">
        <f t="shared" si="115"/>
        <v>23569.93</v>
      </c>
    </row>
    <row r="241" spans="2:35" x14ac:dyDescent="0.2">
      <c r="B241" s="57" t="s">
        <v>472</v>
      </c>
      <c r="C241" s="57"/>
      <c r="D241" s="59" t="s">
        <v>252</v>
      </c>
      <c r="E241" s="60"/>
      <c r="F241" s="77">
        <f>+F242</f>
        <v>190411.38</v>
      </c>
      <c r="G241" s="78">
        <f t="shared" ref="G241:Z242" si="116">+G242</f>
        <v>26480</v>
      </c>
      <c r="H241" s="78">
        <f t="shared" si="116"/>
        <v>27900</v>
      </c>
      <c r="I241" s="78">
        <f t="shared" si="116"/>
        <v>34040</v>
      </c>
      <c r="J241" s="78">
        <f t="shared" si="116"/>
        <v>17960</v>
      </c>
      <c r="K241" s="78">
        <f t="shared" si="116"/>
        <v>0</v>
      </c>
      <c r="L241" s="78">
        <f t="shared" si="116"/>
        <v>0</v>
      </c>
      <c r="M241" s="78">
        <f t="shared" si="116"/>
        <v>0</v>
      </c>
      <c r="N241" s="78">
        <f t="shared" si="116"/>
        <v>0</v>
      </c>
      <c r="O241" s="78">
        <f t="shared" si="116"/>
        <v>30852.5</v>
      </c>
      <c r="P241" s="78">
        <f t="shared" si="116"/>
        <v>2480.2800000000002</v>
      </c>
      <c r="Q241" s="78">
        <f t="shared" si="116"/>
        <v>50698.6</v>
      </c>
      <c r="R241" s="78">
        <f t="shared" si="116"/>
        <v>0</v>
      </c>
      <c r="S241" s="29"/>
      <c r="Z241" s="48">
        <f t="shared" si="116"/>
        <v>190411.38</v>
      </c>
      <c r="AA241" s="45">
        <f t="shared" si="98"/>
        <v>0</v>
      </c>
      <c r="AH241" s="51">
        <f t="shared" si="101"/>
        <v>-190411.38</v>
      </c>
      <c r="AI241" s="45"/>
    </row>
    <row r="242" spans="2:35" x14ac:dyDescent="0.2">
      <c r="B242" s="57" t="s">
        <v>473</v>
      </c>
      <c r="C242" s="57"/>
      <c r="D242" s="59" t="s">
        <v>252</v>
      </c>
      <c r="E242" s="60"/>
      <c r="F242" s="77">
        <f>+F243</f>
        <v>190411.38</v>
      </c>
      <c r="G242" s="78">
        <f t="shared" si="116"/>
        <v>26480</v>
      </c>
      <c r="H242" s="78">
        <f t="shared" si="116"/>
        <v>27900</v>
      </c>
      <c r="I242" s="78">
        <f t="shared" si="116"/>
        <v>34040</v>
      </c>
      <c r="J242" s="78">
        <f t="shared" si="116"/>
        <v>17960</v>
      </c>
      <c r="K242" s="78">
        <f t="shared" si="116"/>
        <v>0</v>
      </c>
      <c r="L242" s="78">
        <f t="shared" si="116"/>
        <v>0</v>
      </c>
      <c r="M242" s="78">
        <f t="shared" si="116"/>
        <v>0</v>
      </c>
      <c r="N242" s="78">
        <f t="shared" si="116"/>
        <v>0</v>
      </c>
      <c r="O242" s="78">
        <f t="shared" si="116"/>
        <v>30852.5</v>
      </c>
      <c r="P242" s="78">
        <f t="shared" si="116"/>
        <v>2480.2800000000002</v>
      </c>
      <c r="Q242" s="78">
        <f t="shared" si="116"/>
        <v>50698.6</v>
      </c>
      <c r="R242" s="78">
        <f t="shared" si="116"/>
        <v>0</v>
      </c>
      <c r="S242" s="29"/>
      <c r="Z242" s="48">
        <f t="shared" si="116"/>
        <v>190411.38</v>
      </c>
      <c r="AA242" s="45">
        <f t="shared" si="98"/>
        <v>0</v>
      </c>
      <c r="AH242" s="51">
        <f t="shared" si="101"/>
        <v>-190411.38</v>
      </c>
      <c r="AI242" s="45"/>
    </row>
    <row r="243" spans="2:35" x14ac:dyDescent="0.2">
      <c r="B243" s="69" t="s">
        <v>474</v>
      </c>
      <c r="C243" s="69" t="s">
        <v>27</v>
      </c>
      <c r="D243" s="70" t="s">
        <v>475</v>
      </c>
      <c r="E243" s="60"/>
      <c r="F243" s="71">
        <f>SUM(G243:R243)</f>
        <v>190411.38</v>
      </c>
      <c r="G243" s="72">
        <v>26480</v>
      </c>
      <c r="H243" s="72">
        <v>27900</v>
      </c>
      <c r="I243" s="72">
        <v>34040</v>
      </c>
      <c r="J243" s="72">
        <v>17960</v>
      </c>
      <c r="K243" s="72">
        <v>0</v>
      </c>
      <c r="L243" s="72">
        <v>0</v>
      </c>
      <c r="M243" s="72">
        <v>0</v>
      </c>
      <c r="N243" s="72">
        <v>0</v>
      </c>
      <c r="O243" s="72">
        <f>712.5+30000+140</f>
        <v>30852.5</v>
      </c>
      <c r="P243" s="72">
        <v>2480.2800000000002</v>
      </c>
      <c r="Q243" s="72">
        <v>50698.6</v>
      </c>
      <c r="R243" s="72">
        <v>0</v>
      </c>
      <c r="Z243" s="72">
        <v>190411.38</v>
      </c>
      <c r="AA243" s="45">
        <f t="shared" si="98"/>
        <v>0</v>
      </c>
      <c r="AG243" s="32">
        <f>208551.38*1.03</f>
        <v>214807.92140000002</v>
      </c>
      <c r="AH243" s="51">
        <f t="shared" si="101"/>
        <v>24396.541400000016</v>
      </c>
      <c r="AI243" s="45">
        <f>+F243</f>
        <v>190411.38</v>
      </c>
    </row>
    <row r="244" spans="2:35" s="62" customFormat="1" x14ac:dyDescent="0.2">
      <c r="B244" s="63" t="s">
        <v>476</v>
      </c>
      <c r="C244" s="63"/>
      <c r="D244" s="64" t="s">
        <v>477</v>
      </c>
      <c r="E244" s="65"/>
      <c r="F244" s="66">
        <f>+F245</f>
        <v>2026033.0893999999</v>
      </c>
      <c r="G244" s="67">
        <f t="shared" ref="G244:Z244" si="117">+G245</f>
        <v>225337.25000000003</v>
      </c>
      <c r="H244" s="67">
        <f t="shared" si="117"/>
        <v>336259.62</v>
      </c>
      <c r="I244" s="67">
        <f t="shared" si="117"/>
        <v>262638.71000000002</v>
      </c>
      <c r="J244" s="67">
        <f t="shared" si="117"/>
        <v>272999.19</v>
      </c>
      <c r="K244" s="67">
        <f t="shared" si="117"/>
        <v>251179.37</v>
      </c>
      <c r="L244" s="67">
        <f t="shared" si="117"/>
        <v>195331.26</v>
      </c>
      <c r="M244" s="67">
        <f t="shared" si="117"/>
        <v>87649.253333333327</v>
      </c>
      <c r="N244" s="67">
        <f t="shared" si="117"/>
        <v>82014.553333333315</v>
      </c>
      <c r="O244" s="67">
        <f t="shared" si="117"/>
        <v>160902.83323333334</v>
      </c>
      <c r="P244" s="67">
        <f t="shared" si="117"/>
        <v>56947.629800000002</v>
      </c>
      <c r="Q244" s="67">
        <f t="shared" si="117"/>
        <v>56498.569699999993</v>
      </c>
      <c r="R244" s="67">
        <f t="shared" si="117"/>
        <v>38274.85</v>
      </c>
      <c r="T244" s="29"/>
      <c r="U244" s="29"/>
      <c r="V244" s="29"/>
      <c r="W244" s="29"/>
      <c r="X244" s="29"/>
      <c r="Y244" s="29"/>
      <c r="Z244" s="67">
        <f t="shared" si="117"/>
        <v>2026033.0899999999</v>
      </c>
      <c r="AA244" s="45">
        <f t="shared" si="98"/>
        <v>5.9999991208314896E-4</v>
      </c>
      <c r="AG244" s="32"/>
      <c r="AH244" s="51">
        <f t="shared" si="101"/>
        <v>-2026033.0893999999</v>
      </c>
      <c r="AI244" s="84"/>
    </row>
    <row r="245" spans="2:35" x14ac:dyDescent="0.2">
      <c r="B245" s="57" t="s">
        <v>478</v>
      </c>
      <c r="C245" s="57"/>
      <c r="D245" s="59" t="s">
        <v>479</v>
      </c>
      <c r="E245" s="60"/>
      <c r="F245" s="61">
        <f>+F246+F252+F254+F259+F262+F265+F270</f>
        <v>2026033.0893999999</v>
      </c>
      <c r="G245" s="48">
        <f t="shared" ref="G245:R245" si="118">+G246+G252+G254+G259+G262+G265+G270</f>
        <v>225337.25000000003</v>
      </c>
      <c r="H245" s="48">
        <f t="shared" si="118"/>
        <v>336259.62</v>
      </c>
      <c r="I245" s="48">
        <f t="shared" si="118"/>
        <v>262638.71000000002</v>
      </c>
      <c r="J245" s="48">
        <f t="shared" si="118"/>
        <v>272999.19</v>
      </c>
      <c r="K245" s="48">
        <f t="shared" si="118"/>
        <v>251179.37</v>
      </c>
      <c r="L245" s="48">
        <f t="shared" si="118"/>
        <v>195331.26</v>
      </c>
      <c r="M245" s="48">
        <f t="shared" si="118"/>
        <v>87649.253333333327</v>
      </c>
      <c r="N245" s="48">
        <f t="shared" si="118"/>
        <v>82014.553333333315</v>
      </c>
      <c r="O245" s="48">
        <f t="shared" si="118"/>
        <v>160902.83323333334</v>
      </c>
      <c r="P245" s="48">
        <f t="shared" si="118"/>
        <v>56947.629800000002</v>
      </c>
      <c r="Q245" s="48">
        <f t="shared" si="118"/>
        <v>56498.569699999993</v>
      </c>
      <c r="R245" s="48">
        <f t="shared" si="118"/>
        <v>38274.85</v>
      </c>
      <c r="Z245" s="48">
        <f t="shared" ref="Z245" si="119">+Z246+Z252+Z254+Z259+Z262+Z265+Z270</f>
        <v>2026033.0899999999</v>
      </c>
      <c r="AA245" s="45">
        <f t="shared" si="98"/>
        <v>5.9999991208314896E-4</v>
      </c>
      <c r="AH245" s="51">
        <f t="shared" si="101"/>
        <v>-2026033.0893999999</v>
      </c>
      <c r="AI245" s="45"/>
    </row>
    <row r="246" spans="2:35" x14ac:dyDescent="0.2">
      <c r="B246" s="57" t="s">
        <v>480</v>
      </c>
      <c r="C246" s="57"/>
      <c r="D246" s="59" t="s">
        <v>481</v>
      </c>
      <c r="E246" s="60"/>
      <c r="F246" s="61">
        <f>SUM(F247:F251)</f>
        <v>335813.10939999996</v>
      </c>
      <c r="G246" s="48">
        <f t="shared" ref="G246:R246" si="120">SUM(G247:G251)</f>
        <v>29322.370000000003</v>
      </c>
      <c r="H246" s="48">
        <f t="shared" si="120"/>
        <v>32113.71</v>
      </c>
      <c r="I246" s="48">
        <f t="shared" si="120"/>
        <v>50599.37</v>
      </c>
      <c r="J246" s="48">
        <f t="shared" si="120"/>
        <v>24200.989999999998</v>
      </c>
      <c r="K246" s="48">
        <f t="shared" si="120"/>
        <v>30691.370000000003</v>
      </c>
      <c r="L246" s="48">
        <f t="shared" si="120"/>
        <v>26599.71</v>
      </c>
      <c r="M246" s="48">
        <f t="shared" si="120"/>
        <v>17542.8</v>
      </c>
      <c r="N246" s="48">
        <f t="shared" si="120"/>
        <v>19252.149999999998</v>
      </c>
      <c r="O246" s="48">
        <f t="shared" si="120"/>
        <v>51907.769899999999</v>
      </c>
      <c r="P246" s="48">
        <f t="shared" si="120"/>
        <v>11661.549800000001</v>
      </c>
      <c r="Q246" s="48">
        <f t="shared" si="120"/>
        <v>21763.329700000002</v>
      </c>
      <c r="R246" s="48">
        <f t="shared" si="120"/>
        <v>20157.989999999998</v>
      </c>
      <c r="Z246" s="48">
        <f t="shared" ref="Z246" si="121">SUM(Z247:Z251)</f>
        <v>335813.11</v>
      </c>
      <c r="AA246" s="45">
        <f t="shared" si="98"/>
        <v>6.0000002849847078E-4</v>
      </c>
      <c r="AH246" s="51">
        <f t="shared" si="101"/>
        <v>-335813.10939999996</v>
      </c>
      <c r="AI246" s="45"/>
    </row>
    <row r="247" spans="2:35" x14ac:dyDescent="0.2">
      <c r="B247" s="69" t="s">
        <v>482</v>
      </c>
      <c r="C247" s="69" t="s">
        <v>27</v>
      </c>
      <c r="D247" s="70" t="s">
        <v>483</v>
      </c>
      <c r="E247" s="60"/>
      <c r="F247" s="71">
        <f>SUM(G247:R247)</f>
        <v>40878.639999999999</v>
      </c>
      <c r="G247" s="72">
        <v>520</v>
      </c>
      <c r="H247" s="72">
        <v>520</v>
      </c>
      <c r="I247" s="72">
        <v>25147</v>
      </c>
      <c r="J247" s="72">
        <v>2443</v>
      </c>
      <c r="K247" s="72">
        <v>2209</v>
      </c>
      <c r="L247" s="72">
        <v>4316</v>
      </c>
      <c r="M247" s="72">
        <v>1190.6400000000001</v>
      </c>
      <c r="N247" s="72">
        <v>0</v>
      </c>
      <c r="O247" s="72">
        <v>4533</v>
      </c>
      <c r="P247" s="72">
        <v>0</v>
      </c>
      <c r="Q247" s="72">
        <v>0</v>
      </c>
      <c r="R247" s="72">
        <v>0</v>
      </c>
      <c r="Z247" s="72">
        <v>40878.639999999999</v>
      </c>
      <c r="AA247" s="45">
        <f t="shared" si="98"/>
        <v>0</v>
      </c>
      <c r="AG247" s="32">
        <f>39688*1.03</f>
        <v>40878.639999999999</v>
      </c>
      <c r="AH247" s="51">
        <f t="shared" si="101"/>
        <v>0</v>
      </c>
      <c r="AI247" s="45">
        <f>+F247</f>
        <v>40878.639999999999</v>
      </c>
    </row>
    <row r="248" spans="2:35" x14ac:dyDescent="0.2">
      <c r="B248" s="69" t="s">
        <v>484</v>
      </c>
      <c r="C248" s="69" t="s">
        <v>27</v>
      </c>
      <c r="D248" s="70" t="s">
        <v>485</v>
      </c>
      <c r="E248" s="60"/>
      <c r="F248" s="71">
        <f>SUM(G248:R248)</f>
        <v>134796.1</v>
      </c>
      <c r="G248" s="72">
        <v>14840</v>
      </c>
      <c r="H248" s="72">
        <v>11460</v>
      </c>
      <c r="I248" s="72">
        <v>11490</v>
      </c>
      <c r="J248" s="72">
        <v>11080</v>
      </c>
      <c r="K248" s="72">
        <v>14520</v>
      </c>
      <c r="L248" s="72">
        <v>9875</v>
      </c>
      <c r="M248" s="72">
        <v>0</v>
      </c>
      <c r="N248" s="72">
        <v>3926.1</v>
      </c>
      <c r="O248" s="72">
        <v>36590</v>
      </c>
      <c r="P248" s="72">
        <v>770</v>
      </c>
      <c r="Q248" s="72">
        <v>10765</v>
      </c>
      <c r="R248" s="72">
        <v>9480</v>
      </c>
      <c r="Z248" s="72">
        <v>134796.1</v>
      </c>
      <c r="AA248" s="45">
        <f t="shared" si="98"/>
        <v>0</v>
      </c>
      <c r="AG248" s="32">
        <f>130870*1.03</f>
        <v>134796.1</v>
      </c>
      <c r="AH248" s="51">
        <f t="shared" si="101"/>
        <v>0</v>
      </c>
      <c r="AI248" s="45">
        <f>+F248</f>
        <v>134796.1</v>
      </c>
    </row>
    <row r="249" spans="2:35" x14ac:dyDescent="0.2">
      <c r="B249" s="69" t="s">
        <v>486</v>
      </c>
      <c r="C249" s="69" t="s">
        <v>27</v>
      </c>
      <c r="D249" s="70" t="s">
        <v>487</v>
      </c>
      <c r="E249" s="60"/>
      <c r="F249" s="71">
        <f>SUM(G249:R249)</f>
        <v>152413.3694</v>
      </c>
      <c r="G249" s="72">
        <v>13962.37</v>
      </c>
      <c r="H249" s="72">
        <v>12408.71</v>
      </c>
      <c r="I249" s="72">
        <v>13962.37</v>
      </c>
      <c r="J249" s="72">
        <v>10677.99</v>
      </c>
      <c r="K249" s="72">
        <v>13962.37</v>
      </c>
      <c r="L249" s="72">
        <v>12408.71</v>
      </c>
      <c r="M249" s="72">
        <v>16352.16</v>
      </c>
      <c r="N249" s="72">
        <v>15326.05</v>
      </c>
      <c r="O249" s="72">
        <f>10677.99*1.01</f>
        <v>10784.769899999999</v>
      </c>
      <c r="P249" s="72">
        <f>10677.99*1.02</f>
        <v>10891.549800000001</v>
      </c>
      <c r="Q249" s="72">
        <f>10677.99*1.03</f>
        <v>10998.3297</v>
      </c>
      <c r="R249" s="72">
        <v>10677.99</v>
      </c>
      <c r="Z249" s="72">
        <v>152413.37</v>
      </c>
      <c r="AA249" s="45">
        <f t="shared" si="98"/>
        <v>5.9999999939464033E-4</v>
      </c>
      <c r="AG249" s="32">
        <f>106991.42*1.03</f>
        <v>110201.1626</v>
      </c>
      <c r="AH249" s="51">
        <f t="shared" si="101"/>
        <v>-42212.2068</v>
      </c>
      <c r="AI249" s="45">
        <f>+F249</f>
        <v>152413.3694</v>
      </c>
    </row>
    <row r="250" spans="2:35" x14ac:dyDescent="0.2">
      <c r="B250" s="69" t="s">
        <v>488</v>
      </c>
      <c r="C250" s="69" t="s">
        <v>27</v>
      </c>
      <c r="D250" s="70" t="s">
        <v>489</v>
      </c>
      <c r="E250" s="60"/>
      <c r="F250" s="71">
        <f>SUM(G250:R250)</f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  <c r="Q250" s="72">
        <v>0</v>
      </c>
      <c r="R250" s="72">
        <v>0</v>
      </c>
      <c r="Z250" s="72">
        <v>0</v>
      </c>
      <c r="AA250" s="45">
        <f t="shared" si="98"/>
        <v>0</v>
      </c>
      <c r="AH250" s="51">
        <f t="shared" si="101"/>
        <v>0</v>
      </c>
      <c r="AI250" s="45">
        <f>+F250</f>
        <v>0</v>
      </c>
    </row>
    <row r="251" spans="2:35" x14ac:dyDescent="0.2">
      <c r="B251" s="69" t="s">
        <v>490</v>
      </c>
      <c r="C251" s="69" t="s">
        <v>27</v>
      </c>
      <c r="D251" s="70" t="s">
        <v>491</v>
      </c>
      <c r="E251" s="60"/>
      <c r="F251" s="71">
        <f>SUM(G251:R251)</f>
        <v>7725</v>
      </c>
      <c r="G251" s="72">
        <v>0</v>
      </c>
      <c r="H251" s="72">
        <f>7500+225</f>
        <v>7725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  <c r="Q251" s="72">
        <v>0</v>
      </c>
      <c r="R251" s="72">
        <v>0</v>
      </c>
      <c r="Z251" s="72">
        <v>7725</v>
      </c>
      <c r="AA251" s="45">
        <f t="shared" si="98"/>
        <v>0</v>
      </c>
      <c r="AG251" s="32">
        <f>7500*1.03</f>
        <v>7725</v>
      </c>
      <c r="AH251" s="51">
        <f t="shared" si="101"/>
        <v>0</v>
      </c>
      <c r="AI251" s="45">
        <f>+F251</f>
        <v>7725</v>
      </c>
    </row>
    <row r="252" spans="2:35" x14ac:dyDescent="0.2">
      <c r="B252" s="57" t="s">
        <v>492</v>
      </c>
      <c r="C252" s="57"/>
      <c r="D252" s="59" t="s">
        <v>493</v>
      </c>
      <c r="E252" s="60"/>
      <c r="F252" s="61">
        <f>+F253</f>
        <v>38716.49</v>
      </c>
      <c r="G252" s="48">
        <f t="shared" ref="G252:Z252" si="122">+G253</f>
        <v>2337.84</v>
      </c>
      <c r="H252" s="48">
        <f t="shared" si="122"/>
        <v>5600</v>
      </c>
      <c r="I252" s="48">
        <f t="shared" si="122"/>
        <v>1600</v>
      </c>
      <c r="J252" s="48">
        <f t="shared" si="122"/>
        <v>0</v>
      </c>
      <c r="K252" s="48">
        <f t="shared" si="122"/>
        <v>5600</v>
      </c>
      <c r="L252" s="48">
        <f t="shared" si="122"/>
        <v>3200</v>
      </c>
      <c r="M252" s="48">
        <f t="shared" si="122"/>
        <v>2100</v>
      </c>
      <c r="N252" s="48">
        <f t="shared" si="122"/>
        <v>2300</v>
      </c>
      <c r="O252" s="48">
        <f t="shared" si="122"/>
        <v>1952.66</v>
      </c>
      <c r="P252" s="48">
        <f t="shared" si="122"/>
        <v>1552</v>
      </c>
      <c r="Q252" s="48">
        <f t="shared" si="122"/>
        <v>10145.99</v>
      </c>
      <c r="R252" s="48">
        <f t="shared" si="122"/>
        <v>2328</v>
      </c>
      <c r="Z252" s="48">
        <f t="shared" si="122"/>
        <v>38716.49</v>
      </c>
      <c r="AA252" s="45">
        <f t="shared" si="98"/>
        <v>0</v>
      </c>
      <c r="AH252" s="51">
        <f t="shared" si="101"/>
        <v>-38716.49</v>
      </c>
      <c r="AI252" s="45"/>
    </row>
    <row r="253" spans="2:35" x14ac:dyDescent="0.2">
      <c r="B253" s="69" t="s">
        <v>494</v>
      </c>
      <c r="C253" s="69" t="s">
        <v>176</v>
      </c>
      <c r="D253" s="70" t="s">
        <v>495</v>
      </c>
      <c r="E253" s="60"/>
      <c r="F253" s="71">
        <f>SUM(G253:R253)</f>
        <v>38716.49</v>
      </c>
      <c r="G253" s="72">
        <v>2337.84</v>
      </c>
      <c r="H253" s="72">
        <v>5600</v>
      </c>
      <c r="I253" s="72">
        <v>1600</v>
      </c>
      <c r="J253" s="72">
        <v>0</v>
      </c>
      <c r="K253" s="72">
        <v>5600</v>
      </c>
      <c r="L253" s="72">
        <v>3200</v>
      </c>
      <c r="M253" s="72">
        <v>2100</v>
      </c>
      <c r="N253" s="72">
        <v>2300</v>
      </c>
      <c r="O253" s="72">
        <v>1952.66</v>
      </c>
      <c r="P253" s="72">
        <v>1552</v>
      </c>
      <c r="Q253" s="72">
        <v>10145.99</v>
      </c>
      <c r="R253" s="72">
        <v>2328</v>
      </c>
      <c r="Z253" s="72">
        <v>38716.49</v>
      </c>
      <c r="AA253" s="45">
        <f t="shared" si="98"/>
        <v>0</v>
      </c>
      <c r="AG253" s="32">
        <f>37588.83*1.03</f>
        <v>38716.494900000005</v>
      </c>
      <c r="AH253" s="51">
        <f t="shared" si="101"/>
        <v>4.9000000071828254E-3</v>
      </c>
      <c r="AI253" s="45">
        <f>+F253</f>
        <v>38716.49</v>
      </c>
    </row>
    <row r="254" spans="2:35" x14ac:dyDescent="0.2">
      <c r="B254" s="57" t="s">
        <v>496</v>
      </c>
      <c r="C254" s="57"/>
      <c r="D254" s="59" t="s">
        <v>497</v>
      </c>
      <c r="E254" s="60"/>
      <c r="F254" s="61">
        <f>SUM(F255:F258)</f>
        <v>58283.240000000005</v>
      </c>
      <c r="G254" s="48">
        <f t="shared" ref="G254:R254" si="123">SUM(G255:G258)</f>
        <v>6320</v>
      </c>
      <c r="H254" s="48">
        <f t="shared" si="123"/>
        <v>5840</v>
      </c>
      <c r="I254" s="48">
        <f t="shared" si="123"/>
        <v>6465</v>
      </c>
      <c r="J254" s="48">
        <f t="shared" si="123"/>
        <v>5565</v>
      </c>
      <c r="K254" s="48">
        <f t="shared" si="123"/>
        <v>1866.55</v>
      </c>
      <c r="L254" s="48">
        <f t="shared" si="123"/>
        <v>4815</v>
      </c>
      <c r="M254" s="48">
        <f t="shared" si="123"/>
        <v>5208.3666666666668</v>
      </c>
      <c r="N254" s="48">
        <f t="shared" si="123"/>
        <v>5208.3666666666668</v>
      </c>
      <c r="O254" s="48">
        <f t="shared" si="123"/>
        <v>5208.3666666666668</v>
      </c>
      <c r="P254" s="48">
        <f t="shared" si="123"/>
        <v>3451.59</v>
      </c>
      <c r="Q254" s="48">
        <f t="shared" si="123"/>
        <v>3870</v>
      </c>
      <c r="R254" s="48">
        <f t="shared" si="123"/>
        <v>4465</v>
      </c>
      <c r="Z254" s="48">
        <f t="shared" ref="Z254" si="124">SUM(Z255:Z258)</f>
        <v>58283.240000000005</v>
      </c>
      <c r="AA254" s="45">
        <f t="shared" si="98"/>
        <v>0</v>
      </c>
      <c r="AH254" s="51">
        <f t="shared" si="101"/>
        <v>-58283.240000000005</v>
      </c>
      <c r="AI254" s="45"/>
    </row>
    <row r="255" spans="2:35" x14ac:dyDescent="0.2">
      <c r="B255" s="69" t="s">
        <v>498</v>
      </c>
      <c r="C255" s="69" t="s">
        <v>27</v>
      </c>
      <c r="D255" s="70" t="s">
        <v>499</v>
      </c>
      <c r="E255" s="60"/>
      <c r="F255" s="71">
        <f>SUM(G255:R255)</f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  <c r="Q255" s="72">
        <v>0</v>
      </c>
      <c r="R255" s="72">
        <v>0</v>
      </c>
      <c r="Z255" s="72">
        <v>0</v>
      </c>
      <c r="AA255" s="45">
        <f t="shared" si="98"/>
        <v>0</v>
      </c>
      <c r="AG255" s="32">
        <f>55251.59*1.03</f>
        <v>56909.137699999999</v>
      </c>
      <c r="AH255" s="51">
        <f t="shared" si="101"/>
        <v>56909.137699999999</v>
      </c>
      <c r="AI255" s="45">
        <f>+F255</f>
        <v>0</v>
      </c>
    </row>
    <row r="256" spans="2:35" x14ac:dyDescent="0.2">
      <c r="B256" s="69" t="s">
        <v>500</v>
      </c>
      <c r="C256" s="69" t="s">
        <v>27</v>
      </c>
      <c r="D256" s="70" t="s">
        <v>501</v>
      </c>
      <c r="E256" s="60"/>
      <c r="F256" s="71">
        <f>SUM(G256:R256)</f>
        <v>57268.69</v>
      </c>
      <c r="G256" s="72">
        <v>6320</v>
      </c>
      <c r="H256" s="72">
        <v>5340</v>
      </c>
      <c r="I256" s="72">
        <v>6465</v>
      </c>
      <c r="J256" s="72">
        <v>5355</v>
      </c>
      <c r="K256" s="72">
        <f>1202+360</f>
        <v>1562</v>
      </c>
      <c r="L256" s="72">
        <v>4815</v>
      </c>
      <c r="M256" s="72">
        <f t="shared" ref="M256:N256" si="125">15170*1.03/3</f>
        <v>5208.3666666666668</v>
      </c>
      <c r="N256" s="72">
        <f t="shared" si="125"/>
        <v>5208.3666666666668</v>
      </c>
      <c r="O256" s="72">
        <f>15170*1.03/3</f>
        <v>5208.3666666666668</v>
      </c>
      <c r="P256" s="72">
        <v>3451.59</v>
      </c>
      <c r="Q256" s="72">
        <v>3870</v>
      </c>
      <c r="R256" s="72">
        <v>4465</v>
      </c>
      <c r="Z256" s="72">
        <v>57268.69</v>
      </c>
      <c r="AA256" s="45">
        <f t="shared" si="98"/>
        <v>0</v>
      </c>
      <c r="AG256" s="32">
        <f>350*1.03</f>
        <v>360.5</v>
      </c>
      <c r="AH256" s="51">
        <f t="shared" si="101"/>
        <v>-56908.19</v>
      </c>
      <c r="AI256" s="45">
        <f>+F256</f>
        <v>57268.69</v>
      </c>
    </row>
    <row r="257" spans="2:35" x14ac:dyDescent="0.2">
      <c r="B257" s="69" t="s">
        <v>502</v>
      </c>
      <c r="C257" s="69" t="s">
        <v>27</v>
      </c>
      <c r="D257" s="70" t="s">
        <v>503</v>
      </c>
      <c r="E257" s="60"/>
      <c r="F257" s="71">
        <f>SUM(G257:R257)</f>
        <v>0</v>
      </c>
      <c r="G257" s="72">
        <v>0</v>
      </c>
      <c r="H257" s="72">
        <v>0</v>
      </c>
      <c r="I257" s="72">
        <v>0</v>
      </c>
      <c r="J257" s="72">
        <v>0</v>
      </c>
      <c r="K257" s="72">
        <v>0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  <c r="Q257" s="72">
        <v>0</v>
      </c>
      <c r="R257" s="72">
        <v>0</v>
      </c>
      <c r="Z257" s="72">
        <v>0</v>
      </c>
      <c r="AA257" s="45">
        <f t="shared" si="98"/>
        <v>0</v>
      </c>
      <c r="AG257" s="32">
        <f>5915*1.03</f>
        <v>6092.45</v>
      </c>
      <c r="AH257" s="51">
        <f t="shared" si="101"/>
        <v>6092.45</v>
      </c>
      <c r="AI257" s="45">
        <f>+F257</f>
        <v>0</v>
      </c>
    </row>
    <row r="258" spans="2:35" x14ac:dyDescent="0.2">
      <c r="B258" s="69" t="s">
        <v>504</v>
      </c>
      <c r="C258" s="69" t="s">
        <v>27</v>
      </c>
      <c r="D258" s="70" t="s">
        <v>505</v>
      </c>
      <c r="E258" s="60"/>
      <c r="F258" s="71">
        <f>SUM(G258:R258)</f>
        <v>1014.55</v>
      </c>
      <c r="G258" s="72">
        <v>0</v>
      </c>
      <c r="H258" s="72">
        <v>500</v>
      </c>
      <c r="I258" s="72">
        <v>0</v>
      </c>
      <c r="J258" s="72">
        <v>210</v>
      </c>
      <c r="K258" s="72">
        <f>275+29.55</f>
        <v>304.55</v>
      </c>
      <c r="L258" s="72">
        <v>0</v>
      </c>
      <c r="M258" s="72">
        <v>0</v>
      </c>
      <c r="N258" s="72">
        <v>0</v>
      </c>
      <c r="O258" s="72">
        <v>0</v>
      </c>
      <c r="P258" s="72">
        <v>0</v>
      </c>
      <c r="Q258" s="72">
        <v>0</v>
      </c>
      <c r="R258" s="72">
        <v>0</v>
      </c>
      <c r="Z258" s="72">
        <v>1014.55</v>
      </c>
      <c r="AA258" s="45">
        <f t="shared" si="98"/>
        <v>0</v>
      </c>
      <c r="AG258" s="32">
        <f>985*1.03</f>
        <v>1014.5500000000001</v>
      </c>
      <c r="AH258" s="51">
        <f t="shared" si="101"/>
        <v>0</v>
      </c>
      <c r="AI258" s="45">
        <f>+F258</f>
        <v>1014.55</v>
      </c>
    </row>
    <row r="259" spans="2:35" x14ac:dyDescent="0.2">
      <c r="B259" s="57" t="s">
        <v>506</v>
      </c>
      <c r="C259" s="57"/>
      <c r="D259" s="59" t="s">
        <v>507</v>
      </c>
      <c r="E259" s="60"/>
      <c r="F259" s="61">
        <f>+F260</f>
        <v>0</v>
      </c>
      <c r="G259" s="48">
        <f t="shared" ref="G259:Z260" si="126">+G260</f>
        <v>0</v>
      </c>
      <c r="H259" s="48">
        <f t="shared" si="126"/>
        <v>0</v>
      </c>
      <c r="I259" s="48">
        <f t="shared" si="126"/>
        <v>0</v>
      </c>
      <c r="J259" s="48">
        <f t="shared" si="126"/>
        <v>0</v>
      </c>
      <c r="K259" s="48">
        <f t="shared" si="126"/>
        <v>0</v>
      </c>
      <c r="L259" s="48">
        <f t="shared" si="126"/>
        <v>0</v>
      </c>
      <c r="M259" s="48">
        <f t="shared" si="126"/>
        <v>0</v>
      </c>
      <c r="N259" s="48">
        <f t="shared" si="126"/>
        <v>0</v>
      </c>
      <c r="O259" s="48">
        <f t="shared" si="126"/>
        <v>0</v>
      </c>
      <c r="P259" s="48">
        <f t="shared" si="126"/>
        <v>0</v>
      </c>
      <c r="Q259" s="48">
        <f t="shared" si="126"/>
        <v>0</v>
      </c>
      <c r="R259" s="48">
        <f t="shared" si="126"/>
        <v>0</v>
      </c>
      <c r="Z259" s="48">
        <f t="shared" si="126"/>
        <v>0</v>
      </c>
      <c r="AA259" s="45">
        <f t="shared" si="98"/>
        <v>0</v>
      </c>
      <c r="AH259" s="51">
        <f t="shared" si="101"/>
        <v>0</v>
      </c>
      <c r="AI259" s="45"/>
    </row>
    <row r="260" spans="2:35" x14ac:dyDescent="0.2">
      <c r="B260" s="57" t="s">
        <v>508</v>
      </c>
      <c r="C260" s="57"/>
      <c r="D260" s="59" t="s">
        <v>509</v>
      </c>
      <c r="E260" s="60"/>
      <c r="F260" s="61">
        <f>+F261</f>
        <v>0</v>
      </c>
      <c r="G260" s="48">
        <f t="shared" si="126"/>
        <v>0</v>
      </c>
      <c r="H260" s="48">
        <f t="shared" si="126"/>
        <v>0</v>
      </c>
      <c r="I260" s="48">
        <f t="shared" si="126"/>
        <v>0</v>
      </c>
      <c r="J260" s="48">
        <f t="shared" si="126"/>
        <v>0</v>
      </c>
      <c r="K260" s="48">
        <f t="shared" si="126"/>
        <v>0</v>
      </c>
      <c r="L260" s="48">
        <f t="shared" si="126"/>
        <v>0</v>
      </c>
      <c r="M260" s="48">
        <f t="shared" si="126"/>
        <v>0</v>
      </c>
      <c r="N260" s="48">
        <f t="shared" si="126"/>
        <v>0</v>
      </c>
      <c r="O260" s="48">
        <f t="shared" si="126"/>
        <v>0</v>
      </c>
      <c r="P260" s="48">
        <f t="shared" si="126"/>
        <v>0</v>
      </c>
      <c r="Q260" s="48">
        <f t="shared" si="126"/>
        <v>0</v>
      </c>
      <c r="R260" s="48">
        <f t="shared" si="126"/>
        <v>0</v>
      </c>
      <c r="Z260" s="48">
        <f t="shared" si="126"/>
        <v>0</v>
      </c>
      <c r="AA260" s="45">
        <f t="shared" si="98"/>
        <v>0</v>
      </c>
      <c r="AH260" s="51">
        <f t="shared" si="101"/>
        <v>0</v>
      </c>
      <c r="AI260" s="45"/>
    </row>
    <row r="261" spans="2:35" x14ac:dyDescent="0.2">
      <c r="B261" s="69" t="s">
        <v>510</v>
      </c>
      <c r="C261" s="69"/>
      <c r="D261" s="70" t="s">
        <v>509</v>
      </c>
      <c r="E261" s="60"/>
      <c r="F261" s="71">
        <f>SUM(G261:R261)</f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  <c r="Q261" s="72">
        <v>0</v>
      </c>
      <c r="R261" s="72">
        <v>0</v>
      </c>
      <c r="Z261" s="72">
        <v>0</v>
      </c>
      <c r="AA261" s="45">
        <f t="shared" si="98"/>
        <v>0</v>
      </c>
      <c r="AH261" s="51">
        <f t="shared" si="101"/>
        <v>0</v>
      </c>
      <c r="AI261" s="45">
        <f>+F261</f>
        <v>0</v>
      </c>
    </row>
    <row r="262" spans="2:35" x14ac:dyDescent="0.2">
      <c r="B262" s="57" t="s">
        <v>511</v>
      </c>
      <c r="C262" s="57"/>
      <c r="D262" s="59" t="s">
        <v>512</v>
      </c>
      <c r="E262" s="60"/>
      <c r="F262" s="61">
        <f>SUM(F263:F264)</f>
        <v>1063177.5</v>
      </c>
      <c r="G262" s="48">
        <f t="shared" ref="G262:R262" si="127">SUM(G263:G264)</f>
        <v>158635</v>
      </c>
      <c r="H262" s="48">
        <f t="shared" si="127"/>
        <v>276304.5</v>
      </c>
      <c r="I262" s="48">
        <f t="shared" si="127"/>
        <v>173575</v>
      </c>
      <c r="J262" s="48">
        <f t="shared" si="127"/>
        <v>187307</v>
      </c>
      <c r="K262" s="48">
        <f t="shared" si="127"/>
        <v>143612</v>
      </c>
      <c r="L262" s="48">
        <f t="shared" si="127"/>
        <v>76144</v>
      </c>
      <c r="M262" s="48">
        <f t="shared" si="127"/>
        <v>0</v>
      </c>
      <c r="N262" s="48">
        <f t="shared" si="127"/>
        <v>0</v>
      </c>
      <c r="O262" s="48">
        <f t="shared" si="127"/>
        <v>47600</v>
      </c>
      <c r="P262" s="48">
        <f t="shared" si="127"/>
        <v>0</v>
      </c>
      <c r="Q262" s="48">
        <f t="shared" si="127"/>
        <v>0</v>
      </c>
      <c r="R262" s="48">
        <f t="shared" si="127"/>
        <v>0</v>
      </c>
      <c r="Z262" s="48">
        <f t="shared" ref="Z262" si="128">SUM(Z263:Z264)</f>
        <v>1063177.5</v>
      </c>
      <c r="AA262" s="45">
        <f t="shared" si="98"/>
        <v>0</v>
      </c>
      <c r="AH262" s="51">
        <f t="shared" si="101"/>
        <v>-1063177.5</v>
      </c>
      <c r="AI262" s="45"/>
    </row>
    <row r="263" spans="2:35" x14ac:dyDescent="0.2">
      <c r="B263" s="69" t="s">
        <v>513</v>
      </c>
      <c r="C263" s="69" t="s">
        <v>233</v>
      </c>
      <c r="D263" s="70" t="s">
        <v>514</v>
      </c>
      <c r="E263" s="60"/>
      <c r="F263" s="71">
        <f>SUM(G263:R263)</f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  <c r="P263" s="72">
        <v>0</v>
      </c>
      <c r="Q263" s="72">
        <v>0</v>
      </c>
      <c r="R263" s="72">
        <v>0</v>
      </c>
      <c r="Z263" s="72">
        <v>0</v>
      </c>
      <c r="AA263" s="45">
        <f t="shared" si="98"/>
        <v>0</v>
      </c>
      <c r="AH263" s="51">
        <f t="shared" si="101"/>
        <v>0</v>
      </c>
      <c r="AI263" s="45">
        <f>+F263</f>
        <v>0</v>
      </c>
    </row>
    <row r="264" spans="2:35" x14ac:dyDescent="0.2">
      <c r="B264" s="69" t="s">
        <v>515</v>
      </c>
      <c r="C264" s="69" t="s">
        <v>233</v>
      </c>
      <c r="D264" s="70" t="s">
        <v>516</v>
      </c>
      <c r="E264" s="60"/>
      <c r="F264" s="71">
        <f>SUM(G264:R264)</f>
        <v>1063177.5</v>
      </c>
      <c r="G264" s="72">
        <v>158635</v>
      </c>
      <c r="H264" s="72">
        <v>276304.5</v>
      </c>
      <c r="I264" s="72">
        <v>173575</v>
      </c>
      <c r="J264" s="72">
        <v>187307</v>
      </c>
      <c r="K264" s="72">
        <v>143612</v>
      </c>
      <c r="L264" s="72">
        <v>76144</v>
      </c>
      <c r="M264" s="72">
        <v>0</v>
      </c>
      <c r="N264" s="72">
        <v>0</v>
      </c>
      <c r="O264" s="72">
        <v>47600</v>
      </c>
      <c r="P264" s="72">
        <v>0</v>
      </c>
      <c r="Q264" s="72">
        <v>0</v>
      </c>
      <c r="R264" s="72">
        <v>0</v>
      </c>
      <c r="Z264" s="72">
        <v>1063177.5</v>
      </c>
      <c r="AA264" s="45">
        <f t="shared" si="98"/>
        <v>0</v>
      </c>
      <c r="AG264" s="32">
        <f>1194232.5*1.03</f>
        <v>1230059.4750000001</v>
      </c>
      <c r="AH264" s="51">
        <f t="shared" si="101"/>
        <v>166881.97500000009</v>
      </c>
      <c r="AI264" s="45">
        <f>+F264</f>
        <v>1063177.5</v>
      </c>
    </row>
    <row r="265" spans="2:35" x14ac:dyDescent="0.2">
      <c r="B265" s="57" t="s">
        <v>517</v>
      </c>
      <c r="C265" s="57"/>
      <c r="D265" s="59" t="s">
        <v>518</v>
      </c>
      <c r="E265" s="60"/>
      <c r="F265" s="61">
        <f>SUM(F266:F269)</f>
        <v>123196.54</v>
      </c>
      <c r="G265" s="48">
        <f t="shared" ref="G265:R265" si="129">SUM(G266:G269)</f>
        <v>15523.32</v>
      </c>
      <c r="H265" s="48">
        <f t="shared" si="129"/>
        <v>12466</v>
      </c>
      <c r="I265" s="48">
        <f t="shared" si="129"/>
        <v>10221</v>
      </c>
      <c r="J265" s="48">
        <f t="shared" si="129"/>
        <v>10451</v>
      </c>
      <c r="K265" s="48">
        <f t="shared" si="129"/>
        <v>10045</v>
      </c>
      <c r="L265" s="48">
        <f t="shared" si="129"/>
        <v>7192</v>
      </c>
      <c r="M265" s="48">
        <f t="shared" si="129"/>
        <v>11085.666666666666</v>
      </c>
      <c r="N265" s="48">
        <f t="shared" si="129"/>
        <v>11075.666666666666</v>
      </c>
      <c r="O265" s="48">
        <f t="shared" si="129"/>
        <v>11055.666666666666</v>
      </c>
      <c r="P265" s="48">
        <f t="shared" si="129"/>
        <v>8657.06</v>
      </c>
      <c r="Q265" s="48">
        <f t="shared" si="129"/>
        <v>9600.2999999999993</v>
      </c>
      <c r="R265" s="48">
        <f t="shared" si="129"/>
        <v>5823.86</v>
      </c>
      <c r="Z265" s="48">
        <f t="shared" ref="Z265" si="130">SUM(Z266:Z269)</f>
        <v>123196.54000000001</v>
      </c>
      <c r="AA265" s="45">
        <f t="shared" si="98"/>
        <v>0</v>
      </c>
      <c r="AH265" s="51">
        <f t="shared" si="101"/>
        <v>-123196.54</v>
      </c>
      <c r="AI265" s="45"/>
    </row>
    <row r="266" spans="2:35" x14ac:dyDescent="0.2">
      <c r="B266" s="69" t="s">
        <v>519</v>
      </c>
      <c r="C266" s="69" t="s">
        <v>27</v>
      </c>
      <c r="D266" s="70" t="s">
        <v>520</v>
      </c>
      <c r="E266" s="60"/>
      <c r="F266" s="71">
        <f>SUM(G266:R266)</f>
        <v>29437.379999999997</v>
      </c>
      <c r="G266" s="72">
        <v>5452.32</v>
      </c>
      <c r="H266" s="72">
        <v>4153</v>
      </c>
      <c r="I266" s="72">
        <v>1787</v>
      </c>
      <c r="J266" s="72">
        <v>2859</v>
      </c>
      <c r="K266" s="72">
        <v>2002</v>
      </c>
      <c r="L266" s="72">
        <v>1183</v>
      </c>
      <c r="M266" s="72">
        <v>2396.3333333333335</v>
      </c>
      <c r="N266" s="72">
        <v>2396.3333333333335</v>
      </c>
      <c r="O266" s="72">
        <v>2396.3333333333335</v>
      </c>
      <c r="P266" s="72">
        <v>2157.06</v>
      </c>
      <c r="Q266" s="72">
        <v>2389.5</v>
      </c>
      <c r="R266" s="72">
        <v>265.5</v>
      </c>
      <c r="Z266" s="72">
        <v>29437.38</v>
      </c>
      <c r="AA266" s="45">
        <f t="shared" si="98"/>
        <v>0</v>
      </c>
      <c r="AG266" s="32">
        <f>29437.38*1.03</f>
        <v>30320.501400000001</v>
      </c>
      <c r="AH266" s="51">
        <f t="shared" si="101"/>
        <v>883.12140000000363</v>
      </c>
      <c r="AI266" s="45">
        <f>+F266</f>
        <v>29437.379999999997</v>
      </c>
    </row>
    <row r="267" spans="2:35" x14ac:dyDescent="0.2">
      <c r="B267" s="69" t="s">
        <v>521</v>
      </c>
      <c r="C267" s="69" t="s">
        <v>325</v>
      </c>
      <c r="D267" s="70" t="s">
        <v>522</v>
      </c>
      <c r="E267" s="60"/>
      <c r="F267" s="71">
        <f>SUM(G267:R267)</f>
        <v>6950.16</v>
      </c>
      <c r="G267" s="72">
        <v>1566</v>
      </c>
      <c r="H267" s="72">
        <v>594</v>
      </c>
      <c r="I267" s="72">
        <v>540</v>
      </c>
      <c r="J267" s="72">
        <v>594</v>
      </c>
      <c r="K267" s="72">
        <v>918</v>
      </c>
      <c r="L267" s="72">
        <v>486</v>
      </c>
      <c r="M267" s="72">
        <v>540</v>
      </c>
      <c r="N267" s="72">
        <v>540</v>
      </c>
      <c r="O267" s="72">
        <v>540</v>
      </c>
      <c r="P267" s="72">
        <v>0</v>
      </c>
      <c r="Q267" s="72">
        <v>526.79999999999995</v>
      </c>
      <c r="R267" s="72">
        <v>105.36</v>
      </c>
      <c r="Z267" s="72">
        <v>6950.16</v>
      </c>
      <c r="AA267" s="45">
        <f t="shared" si="98"/>
        <v>0</v>
      </c>
      <c r="AG267" s="32">
        <f>6950.16*1.03</f>
        <v>7158.6648000000005</v>
      </c>
      <c r="AH267" s="51">
        <f t="shared" si="101"/>
        <v>208.50480000000061</v>
      </c>
      <c r="AI267" s="45">
        <f>+F267</f>
        <v>6950.16</v>
      </c>
    </row>
    <row r="268" spans="2:35" x14ac:dyDescent="0.2">
      <c r="B268" s="69" t="s">
        <v>523</v>
      </c>
      <c r="C268" s="69" t="s">
        <v>260</v>
      </c>
      <c r="D268" s="70" t="s">
        <v>524</v>
      </c>
      <c r="E268" s="60"/>
      <c r="F268" s="71">
        <f>SUM(G268:R268)</f>
        <v>78677</v>
      </c>
      <c r="G268" s="72">
        <v>7605</v>
      </c>
      <c r="H268" s="72">
        <v>6919</v>
      </c>
      <c r="I268" s="72">
        <v>7194</v>
      </c>
      <c r="J268" s="72">
        <v>6398</v>
      </c>
      <c r="K268" s="72">
        <v>6625</v>
      </c>
      <c r="L268" s="72">
        <v>4832</v>
      </c>
      <c r="M268" s="72">
        <v>7489.333333333333</v>
      </c>
      <c r="N268" s="72">
        <v>7489.333333333333</v>
      </c>
      <c r="O268" s="72">
        <v>7489.333333333333</v>
      </c>
      <c r="P268" s="72">
        <v>5890</v>
      </c>
      <c r="Q268" s="72">
        <v>5993</v>
      </c>
      <c r="R268" s="72">
        <v>4753</v>
      </c>
      <c r="Z268" s="72">
        <v>78677</v>
      </c>
      <c r="AA268" s="45">
        <f t="shared" si="98"/>
        <v>0</v>
      </c>
      <c r="AG268" s="32">
        <f>78677*1.03</f>
        <v>81037.31</v>
      </c>
      <c r="AH268" s="51">
        <f t="shared" si="101"/>
        <v>2360.3099999999977</v>
      </c>
      <c r="AI268" s="45">
        <f>+F268</f>
        <v>78677</v>
      </c>
    </row>
    <row r="269" spans="2:35" x14ac:dyDescent="0.2">
      <c r="B269" s="69" t="s">
        <v>525</v>
      </c>
      <c r="C269" s="69" t="s">
        <v>27</v>
      </c>
      <c r="D269" s="70" t="s">
        <v>526</v>
      </c>
      <c r="E269" s="60"/>
      <c r="F269" s="71">
        <f>SUM(G269:R269)</f>
        <v>8132</v>
      </c>
      <c r="G269" s="72">
        <v>900</v>
      </c>
      <c r="H269" s="72">
        <v>800</v>
      </c>
      <c r="I269" s="72">
        <v>700</v>
      </c>
      <c r="J269" s="72">
        <v>600</v>
      </c>
      <c r="K269" s="72">
        <v>500</v>
      </c>
      <c r="L269" s="72">
        <v>691</v>
      </c>
      <c r="M269" s="72">
        <v>660</v>
      </c>
      <c r="N269" s="72">
        <v>650</v>
      </c>
      <c r="O269" s="72">
        <v>630</v>
      </c>
      <c r="P269" s="72">
        <v>610</v>
      </c>
      <c r="Q269" s="72">
        <v>691</v>
      </c>
      <c r="R269" s="72">
        <v>700</v>
      </c>
      <c r="Z269" s="72">
        <v>8132</v>
      </c>
      <c r="AA269" s="45">
        <f t="shared" si="98"/>
        <v>0</v>
      </c>
      <c r="AG269" s="32">
        <f>4003.5*1.03</f>
        <v>4123.6050000000005</v>
      </c>
      <c r="AH269" s="51">
        <f t="shared" si="101"/>
        <v>-4008.3949999999995</v>
      </c>
      <c r="AI269" s="45">
        <f>+F269</f>
        <v>8132</v>
      </c>
    </row>
    <row r="270" spans="2:35" x14ac:dyDescent="0.2">
      <c r="B270" s="57" t="s">
        <v>527</v>
      </c>
      <c r="C270" s="57"/>
      <c r="D270" s="59" t="s">
        <v>528</v>
      </c>
      <c r="E270" s="60"/>
      <c r="F270" s="61">
        <f>+F271+F273+F275</f>
        <v>406846.2099999999</v>
      </c>
      <c r="G270" s="48">
        <f t="shared" ref="G270:R270" si="131">+G271+G273+G275</f>
        <v>13198.720000000001</v>
      </c>
      <c r="H270" s="48">
        <f t="shared" si="131"/>
        <v>3935.41</v>
      </c>
      <c r="I270" s="48">
        <f t="shared" si="131"/>
        <v>20178.34</v>
      </c>
      <c r="J270" s="48">
        <f t="shared" si="131"/>
        <v>45475.199999999997</v>
      </c>
      <c r="K270" s="48">
        <f t="shared" si="131"/>
        <v>59364.45</v>
      </c>
      <c r="L270" s="48">
        <f t="shared" si="131"/>
        <v>77380.55</v>
      </c>
      <c r="M270" s="48">
        <f t="shared" si="131"/>
        <v>51712.42</v>
      </c>
      <c r="N270" s="48">
        <f t="shared" si="131"/>
        <v>44178.369999999995</v>
      </c>
      <c r="O270" s="48">
        <f t="shared" si="131"/>
        <v>43178.369999999995</v>
      </c>
      <c r="P270" s="48">
        <f t="shared" si="131"/>
        <v>31625.43</v>
      </c>
      <c r="Q270" s="48">
        <f t="shared" si="131"/>
        <v>11118.95</v>
      </c>
      <c r="R270" s="48">
        <f t="shared" si="131"/>
        <v>5500</v>
      </c>
      <c r="Z270" s="48">
        <f t="shared" ref="Z270" si="132">+Z271+Z273+Z275</f>
        <v>406846.20999999996</v>
      </c>
      <c r="AA270" s="45">
        <f t="shared" si="98"/>
        <v>0</v>
      </c>
      <c r="AH270" s="51">
        <f t="shared" si="101"/>
        <v>-406846.2099999999</v>
      </c>
      <c r="AI270" s="45"/>
    </row>
    <row r="271" spans="2:35" x14ac:dyDescent="0.2">
      <c r="B271" s="57" t="s">
        <v>529</v>
      </c>
      <c r="C271" s="57"/>
      <c r="D271" s="59" t="s">
        <v>530</v>
      </c>
      <c r="E271" s="60"/>
      <c r="F271" s="61">
        <f>+F272</f>
        <v>269770.53999999992</v>
      </c>
      <c r="G271" s="48">
        <f t="shared" ref="G271:Z271" si="133">+G272</f>
        <v>12210.03</v>
      </c>
      <c r="H271" s="48">
        <f t="shared" si="133"/>
        <v>2995.52</v>
      </c>
      <c r="I271" s="48">
        <f t="shared" si="133"/>
        <v>11706.48</v>
      </c>
      <c r="J271" s="48">
        <f t="shared" si="133"/>
        <v>31059.42</v>
      </c>
      <c r="K271" s="48">
        <f t="shared" si="133"/>
        <v>37296.639999999999</v>
      </c>
      <c r="L271" s="48">
        <f t="shared" si="133"/>
        <v>46380.49</v>
      </c>
      <c r="M271" s="48">
        <f t="shared" si="133"/>
        <v>37296.639999999999</v>
      </c>
      <c r="N271" s="48">
        <f t="shared" si="133"/>
        <v>31059.42</v>
      </c>
      <c r="O271" s="48">
        <f t="shared" si="133"/>
        <v>31059.42</v>
      </c>
      <c r="P271" s="48">
        <f t="shared" si="133"/>
        <v>20706.48</v>
      </c>
      <c r="Q271" s="48">
        <f t="shared" si="133"/>
        <v>6000</v>
      </c>
      <c r="R271" s="48">
        <f t="shared" si="133"/>
        <v>2000</v>
      </c>
      <c r="Z271" s="48">
        <f t="shared" si="133"/>
        <v>269770.53999999998</v>
      </c>
      <c r="AA271" s="45">
        <f t="shared" si="98"/>
        <v>0</v>
      </c>
      <c r="AH271" s="51">
        <f t="shared" si="101"/>
        <v>-269770.53999999992</v>
      </c>
      <c r="AI271" s="45"/>
    </row>
    <row r="272" spans="2:35" x14ac:dyDescent="0.2">
      <c r="B272" s="69" t="s">
        <v>531</v>
      </c>
      <c r="C272" s="69" t="s">
        <v>27</v>
      </c>
      <c r="D272" s="70" t="s">
        <v>532</v>
      </c>
      <c r="E272" s="60"/>
      <c r="F272" s="71">
        <f>SUM(G272:R272)</f>
        <v>269770.53999999992</v>
      </c>
      <c r="G272" s="72">
        <v>12210.03</v>
      </c>
      <c r="H272" s="72">
        <v>2995.52</v>
      </c>
      <c r="I272" s="72">
        <v>11706.48</v>
      </c>
      <c r="J272" s="72">
        <v>31059.42</v>
      </c>
      <c r="K272" s="72">
        <v>37296.639999999999</v>
      </c>
      <c r="L272" s="72">
        <v>46380.49</v>
      </c>
      <c r="M272" s="72">
        <v>37296.639999999999</v>
      </c>
      <c r="N272" s="72">
        <v>31059.42</v>
      </c>
      <c r="O272" s="72">
        <v>31059.42</v>
      </c>
      <c r="P272" s="72">
        <v>20706.48</v>
      </c>
      <c r="Q272" s="72">
        <v>6000</v>
      </c>
      <c r="R272" s="72">
        <v>2000</v>
      </c>
      <c r="Z272" s="72">
        <v>269770.53999999998</v>
      </c>
      <c r="AA272" s="45">
        <f t="shared" si="98"/>
        <v>0</v>
      </c>
      <c r="AG272" s="32">
        <f>141648.58*1.03</f>
        <v>145898.0374</v>
      </c>
      <c r="AH272" s="51">
        <f t="shared" si="101"/>
        <v>-123872.50259999992</v>
      </c>
      <c r="AI272" s="45">
        <f>+F272</f>
        <v>269770.53999999992</v>
      </c>
    </row>
    <row r="273" spans="2:35" x14ac:dyDescent="0.2">
      <c r="B273" s="57" t="s">
        <v>533</v>
      </c>
      <c r="C273" s="57"/>
      <c r="D273" s="59" t="s">
        <v>534</v>
      </c>
      <c r="E273" s="60"/>
      <c r="F273" s="61">
        <f>+F274</f>
        <v>122912.06999999999</v>
      </c>
      <c r="G273" s="48">
        <f t="shared" ref="G273:Z273" si="134">+G274</f>
        <v>0</v>
      </c>
      <c r="H273" s="48">
        <f t="shared" si="134"/>
        <v>0</v>
      </c>
      <c r="I273" s="48">
        <f t="shared" si="134"/>
        <v>5809.34</v>
      </c>
      <c r="J273" s="48">
        <f t="shared" si="134"/>
        <v>13296.83</v>
      </c>
      <c r="K273" s="48">
        <f t="shared" si="134"/>
        <v>22067.81</v>
      </c>
      <c r="L273" s="48">
        <f t="shared" si="134"/>
        <v>28641.26</v>
      </c>
      <c r="M273" s="48">
        <f t="shared" si="134"/>
        <v>13296.83</v>
      </c>
      <c r="N273" s="48">
        <f t="shared" si="134"/>
        <v>12000</v>
      </c>
      <c r="O273" s="48">
        <f t="shared" si="134"/>
        <v>11000</v>
      </c>
      <c r="P273" s="48">
        <f t="shared" si="134"/>
        <v>9800</v>
      </c>
      <c r="Q273" s="48">
        <f t="shared" si="134"/>
        <v>4000</v>
      </c>
      <c r="R273" s="48">
        <f t="shared" si="134"/>
        <v>3000</v>
      </c>
      <c r="Z273" s="48">
        <f t="shared" si="134"/>
        <v>122912.07</v>
      </c>
      <c r="AA273" s="45">
        <f t="shared" ref="AA273:AA325" si="135">+Z273-F273</f>
        <v>0</v>
      </c>
      <c r="AH273" s="51">
        <f t="shared" si="101"/>
        <v>-122912.06999999999</v>
      </c>
      <c r="AI273" s="45"/>
    </row>
    <row r="274" spans="2:35" x14ac:dyDescent="0.2">
      <c r="B274" s="69" t="s">
        <v>535</v>
      </c>
      <c r="C274" s="69" t="s">
        <v>27</v>
      </c>
      <c r="D274" s="70" t="s">
        <v>536</v>
      </c>
      <c r="E274" s="60"/>
      <c r="F274" s="71">
        <f>SUM(G274:R274)</f>
        <v>122912.06999999999</v>
      </c>
      <c r="G274" s="72">
        <v>0</v>
      </c>
      <c r="H274" s="72">
        <v>0</v>
      </c>
      <c r="I274" s="72">
        <v>5809.34</v>
      </c>
      <c r="J274" s="72">
        <v>13296.83</v>
      </c>
      <c r="K274" s="72">
        <v>22067.81</v>
      </c>
      <c r="L274" s="72">
        <v>28641.26</v>
      </c>
      <c r="M274" s="72">
        <v>13296.83</v>
      </c>
      <c r="N274" s="72">
        <v>12000</v>
      </c>
      <c r="O274" s="72">
        <v>11000</v>
      </c>
      <c r="P274" s="72">
        <v>9800</v>
      </c>
      <c r="Q274" s="72">
        <v>4000</v>
      </c>
      <c r="R274" s="72">
        <v>3000</v>
      </c>
      <c r="Z274" s="72">
        <v>122912.07</v>
      </c>
      <c r="AA274" s="45">
        <f t="shared" si="135"/>
        <v>0</v>
      </c>
      <c r="AG274" s="32">
        <f>69815.24*1.03</f>
        <v>71909.69720000001</v>
      </c>
      <c r="AH274" s="51">
        <f t="shared" si="101"/>
        <v>-51002.372799999983</v>
      </c>
      <c r="AI274" s="45">
        <f>+F274</f>
        <v>122912.06999999999</v>
      </c>
    </row>
    <row r="275" spans="2:35" x14ac:dyDescent="0.2">
      <c r="B275" s="57" t="s">
        <v>537</v>
      </c>
      <c r="C275" s="57"/>
      <c r="D275" s="59" t="s">
        <v>538</v>
      </c>
      <c r="E275" s="60"/>
      <c r="F275" s="61">
        <f>+F276</f>
        <v>14163.600000000004</v>
      </c>
      <c r="G275" s="48">
        <f t="shared" ref="G275:Z275" si="136">+G276</f>
        <v>988.69</v>
      </c>
      <c r="H275" s="48">
        <f t="shared" si="136"/>
        <v>939.89</v>
      </c>
      <c r="I275" s="48">
        <f t="shared" si="136"/>
        <v>2662.52</v>
      </c>
      <c r="J275" s="48">
        <f t="shared" si="136"/>
        <v>1118.95</v>
      </c>
      <c r="K275" s="48">
        <f t="shared" si="136"/>
        <v>0</v>
      </c>
      <c r="L275" s="48">
        <f t="shared" si="136"/>
        <v>2358.8000000000002</v>
      </c>
      <c r="M275" s="48">
        <f t="shared" si="136"/>
        <v>1118.95</v>
      </c>
      <c r="N275" s="48">
        <f t="shared" si="136"/>
        <v>1118.95</v>
      </c>
      <c r="O275" s="48">
        <f t="shared" si="136"/>
        <v>1118.95</v>
      </c>
      <c r="P275" s="48">
        <f t="shared" si="136"/>
        <v>1118.95</v>
      </c>
      <c r="Q275" s="48">
        <f t="shared" si="136"/>
        <v>1118.95</v>
      </c>
      <c r="R275" s="48">
        <f t="shared" si="136"/>
        <v>500</v>
      </c>
      <c r="Z275" s="48">
        <f t="shared" si="136"/>
        <v>14163.6</v>
      </c>
      <c r="AA275" s="45">
        <f t="shared" si="135"/>
        <v>0</v>
      </c>
      <c r="AH275" s="51">
        <f t="shared" si="101"/>
        <v>-14163.600000000004</v>
      </c>
      <c r="AI275" s="45"/>
    </row>
    <row r="276" spans="2:35" x14ac:dyDescent="0.2">
      <c r="B276" s="69" t="s">
        <v>539</v>
      </c>
      <c r="C276" s="69" t="s">
        <v>27</v>
      </c>
      <c r="D276" s="70" t="s">
        <v>540</v>
      </c>
      <c r="E276" s="60"/>
      <c r="F276" s="71">
        <f>SUM(G276:R276)</f>
        <v>14163.600000000004</v>
      </c>
      <c r="G276" s="72">
        <v>988.69</v>
      </c>
      <c r="H276" s="72">
        <v>939.89</v>
      </c>
      <c r="I276" s="72">
        <v>2662.52</v>
      </c>
      <c r="J276" s="72">
        <v>1118.95</v>
      </c>
      <c r="K276" s="72">
        <v>0</v>
      </c>
      <c r="L276" s="72">
        <v>2358.8000000000002</v>
      </c>
      <c r="M276" s="72">
        <v>1118.95</v>
      </c>
      <c r="N276" s="72">
        <v>1118.95</v>
      </c>
      <c r="O276" s="72">
        <v>1118.95</v>
      </c>
      <c r="P276" s="72">
        <v>1118.95</v>
      </c>
      <c r="Q276" s="72">
        <v>1118.95</v>
      </c>
      <c r="R276" s="72">
        <v>500</v>
      </c>
      <c r="Z276" s="72">
        <v>14163.6</v>
      </c>
      <c r="AA276" s="45">
        <f t="shared" si="135"/>
        <v>0</v>
      </c>
      <c r="AG276" s="32">
        <f>8068.85*1.03</f>
        <v>8310.915500000001</v>
      </c>
      <c r="AH276" s="51">
        <f t="shared" si="101"/>
        <v>-5852.684500000003</v>
      </c>
      <c r="AI276" s="45">
        <f>+F276</f>
        <v>14163.600000000004</v>
      </c>
    </row>
    <row r="277" spans="2:35" s="62" customFormat="1" x14ac:dyDescent="0.2">
      <c r="B277" s="63" t="s">
        <v>541</v>
      </c>
      <c r="C277" s="63"/>
      <c r="D277" s="64" t="s">
        <v>542</v>
      </c>
      <c r="E277" s="65"/>
      <c r="F277" s="66">
        <f>+F278</f>
        <v>394922.83200000011</v>
      </c>
      <c r="G277" s="67">
        <f t="shared" ref="G277:Z277" si="137">+G278</f>
        <v>113662.70200000002</v>
      </c>
      <c r="H277" s="67">
        <f t="shared" si="137"/>
        <v>18960.223500000004</v>
      </c>
      <c r="I277" s="67">
        <f t="shared" si="137"/>
        <v>61492.122000000003</v>
      </c>
      <c r="J277" s="67">
        <f t="shared" si="137"/>
        <v>19327.951500000003</v>
      </c>
      <c r="K277" s="67">
        <f t="shared" si="137"/>
        <v>14681.180000000002</v>
      </c>
      <c r="L277" s="67">
        <f t="shared" si="137"/>
        <v>13467.286500000004</v>
      </c>
      <c r="M277" s="67">
        <f t="shared" si="137"/>
        <v>35631.944000000003</v>
      </c>
      <c r="N277" s="67">
        <f t="shared" si="137"/>
        <v>15631.944000000001</v>
      </c>
      <c r="O277" s="67">
        <f t="shared" si="137"/>
        <v>19473.845500000003</v>
      </c>
      <c r="P277" s="67">
        <f t="shared" si="137"/>
        <v>19853.289000000001</v>
      </c>
      <c r="Q277" s="67">
        <f t="shared" si="137"/>
        <v>21585.388000000003</v>
      </c>
      <c r="R277" s="67">
        <f t="shared" si="137"/>
        <v>41154.955999999998</v>
      </c>
      <c r="T277" s="29"/>
      <c r="U277" s="29"/>
      <c r="V277" s="29"/>
      <c r="W277" s="29"/>
      <c r="X277" s="29"/>
      <c r="Y277" s="29"/>
      <c r="Z277" s="67">
        <f t="shared" si="137"/>
        <v>394922.83</v>
      </c>
      <c r="AA277" s="45">
        <f t="shared" si="135"/>
        <v>-2.0000000949949026E-3</v>
      </c>
      <c r="AG277" s="32"/>
      <c r="AH277" s="51">
        <f t="shared" ref="AH277:AH278" si="138">+AG277-F277</f>
        <v>-394922.83200000011</v>
      </c>
      <c r="AI277" s="84"/>
    </row>
    <row r="278" spans="2:35" x14ac:dyDescent="0.2">
      <c r="B278" s="57" t="s">
        <v>543</v>
      </c>
      <c r="C278" s="57"/>
      <c r="D278" s="59" t="s">
        <v>544</v>
      </c>
      <c r="E278" s="60"/>
      <c r="F278" s="61">
        <f>+F286+F288+F291+F293+F279</f>
        <v>394922.83200000011</v>
      </c>
      <c r="G278" s="48">
        <f>+G286+G288+G291+G293+G279</f>
        <v>113662.70200000002</v>
      </c>
      <c r="H278" s="48">
        <f t="shared" ref="H278:R278" si="139">+H286+H288+H291+H293+H279</f>
        <v>18960.223500000004</v>
      </c>
      <c r="I278" s="48">
        <f t="shared" si="139"/>
        <v>61492.122000000003</v>
      </c>
      <c r="J278" s="48">
        <f t="shared" si="139"/>
        <v>19327.951500000003</v>
      </c>
      <c r="K278" s="48">
        <f t="shared" si="139"/>
        <v>14681.180000000002</v>
      </c>
      <c r="L278" s="48">
        <f t="shared" si="139"/>
        <v>13467.286500000004</v>
      </c>
      <c r="M278" s="48">
        <f t="shared" si="139"/>
        <v>35631.944000000003</v>
      </c>
      <c r="N278" s="48">
        <f t="shared" si="139"/>
        <v>15631.944000000001</v>
      </c>
      <c r="O278" s="48">
        <f t="shared" si="139"/>
        <v>19473.845500000003</v>
      </c>
      <c r="P278" s="48">
        <f t="shared" si="139"/>
        <v>19853.289000000001</v>
      </c>
      <c r="Q278" s="48">
        <f t="shared" si="139"/>
        <v>21585.388000000003</v>
      </c>
      <c r="R278" s="48">
        <f t="shared" si="139"/>
        <v>41154.955999999998</v>
      </c>
      <c r="Z278" s="48">
        <f t="shared" ref="Z278" si="140">+Z286+Z288+Z291+Z293+Z279</f>
        <v>394922.83</v>
      </c>
      <c r="AA278" s="45">
        <f t="shared" si="135"/>
        <v>-2.0000000949949026E-3</v>
      </c>
      <c r="AH278" s="51">
        <f t="shared" si="138"/>
        <v>-394922.83200000011</v>
      </c>
      <c r="AI278" s="45"/>
    </row>
    <row r="279" spans="2:35" x14ac:dyDescent="0.2">
      <c r="B279" s="57" t="s">
        <v>545</v>
      </c>
      <c r="C279" s="57"/>
      <c r="D279" s="59" t="s">
        <v>84</v>
      </c>
      <c r="E279" s="60"/>
      <c r="F279" s="61">
        <f>SUM(F280:F285)</f>
        <v>275613.09200000012</v>
      </c>
      <c r="G279" s="48">
        <f t="shared" ref="G279:R279" si="141">SUM(G280:G285)</f>
        <v>110701.45200000002</v>
      </c>
      <c r="H279" s="48">
        <f t="shared" si="141"/>
        <v>17273.973500000004</v>
      </c>
      <c r="I279" s="48">
        <f t="shared" si="141"/>
        <v>21105.871999999999</v>
      </c>
      <c r="J279" s="48">
        <f t="shared" si="141"/>
        <v>18641.701500000003</v>
      </c>
      <c r="K279" s="48">
        <f t="shared" si="141"/>
        <v>14588.480000000001</v>
      </c>
      <c r="L279" s="48">
        <f t="shared" si="141"/>
        <v>10167.286500000004</v>
      </c>
      <c r="M279" s="48">
        <f t="shared" si="141"/>
        <v>15631.944000000001</v>
      </c>
      <c r="N279" s="48">
        <f t="shared" si="141"/>
        <v>15631.944000000001</v>
      </c>
      <c r="O279" s="48">
        <f t="shared" si="141"/>
        <v>16168.105500000001</v>
      </c>
      <c r="P279" s="48">
        <f t="shared" si="141"/>
        <v>4653.2889999999998</v>
      </c>
      <c r="Q279" s="48">
        <f t="shared" si="141"/>
        <v>18477.888000000003</v>
      </c>
      <c r="R279" s="48">
        <f t="shared" si="141"/>
        <v>12571.156000000001</v>
      </c>
      <c r="Z279" s="48">
        <f t="shared" ref="Z279" si="142">SUM(Z280:Z285)</f>
        <v>275613.09000000003</v>
      </c>
      <c r="AA279" s="45">
        <f t="shared" si="135"/>
        <v>-2.0000000949949026E-3</v>
      </c>
      <c r="AI279" s="45"/>
    </row>
    <row r="280" spans="2:35" x14ac:dyDescent="0.2">
      <c r="B280" s="69" t="s">
        <v>546</v>
      </c>
      <c r="C280" s="69" t="s">
        <v>27</v>
      </c>
      <c r="D280" s="70" t="s">
        <v>86</v>
      </c>
      <c r="E280" s="60"/>
      <c r="F280" s="71">
        <f t="shared" ref="F280:F285" si="143">SUM(G280:R280)</f>
        <v>127460.23400000004</v>
      </c>
      <c r="G280" s="72">
        <f>44672.97*1.1</f>
        <v>49140.267000000007</v>
      </c>
      <c r="H280" s="72">
        <f>13314.7*1.1</f>
        <v>14646.170000000002</v>
      </c>
      <c r="I280" s="72">
        <f>10592.2*1.1</f>
        <v>11651.420000000002</v>
      </c>
      <c r="J280" s="72">
        <f>4532.46*1.1</f>
        <v>4985.7060000000001</v>
      </c>
      <c r="K280" s="72">
        <f>4748.11*1.1</f>
        <v>5222.9210000000003</v>
      </c>
      <c r="L280" s="72">
        <f>3657.99*1.1</f>
        <v>4023.7890000000002</v>
      </c>
      <c r="M280" s="72">
        <f>18966.72*1.1/3</f>
        <v>6954.4640000000009</v>
      </c>
      <c r="N280" s="72">
        <f t="shared" ref="N280:O280" si="144">18966.72*1.1/3</f>
        <v>6954.4640000000009</v>
      </c>
      <c r="O280" s="72">
        <f t="shared" si="144"/>
        <v>6954.4640000000009</v>
      </c>
      <c r="P280" s="72">
        <f>3790.37*1.1</f>
        <v>4169.4070000000002</v>
      </c>
      <c r="Q280" s="72">
        <f>6387.96*1.1</f>
        <v>7026.7560000000003</v>
      </c>
      <c r="R280" s="72">
        <f>5209.46*1.1</f>
        <v>5730.4060000000009</v>
      </c>
      <c r="Z280" s="72">
        <v>127460.23</v>
      </c>
      <c r="AA280" s="45">
        <f t="shared" si="135"/>
        <v>-4.0000000444706529E-3</v>
      </c>
      <c r="AG280" s="45">
        <f>115872.94*1.1</f>
        <v>127460.23400000001</v>
      </c>
      <c r="AI280" s="45">
        <f t="shared" ref="AI280:AI285" si="145">+F280</f>
        <v>127460.23400000004</v>
      </c>
    </row>
    <row r="281" spans="2:35" x14ac:dyDescent="0.2">
      <c r="B281" s="69" t="s">
        <v>547</v>
      </c>
      <c r="C281" s="69" t="s">
        <v>27</v>
      </c>
      <c r="D281" s="70" t="s">
        <v>88</v>
      </c>
      <c r="E281" s="60"/>
      <c r="F281" s="71">
        <f t="shared" si="143"/>
        <v>122423.40600000002</v>
      </c>
      <c r="G281" s="72">
        <f>53296.31*1.05</f>
        <v>55961.125500000002</v>
      </c>
      <c r="H281" s="72">
        <v>0</v>
      </c>
      <c r="I281" s="72">
        <f>7345.92*1.05</f>
        <v>7713.2160000000003</v>
      </c>
      <c r="J281" s="72">
        <f>12353.04*1.05</f>
        <v>12970.692000000001</v>
      </c>
      <c r="K281" s="72">
        <f>8135.88*1.05</f>
        <v>8542.6740000000009</v>
      </c>
      <c r="L281" s="72">
        <f>4266.27*1.05</f>
        <v>4479.5835000000006</v>
      </c>
      <c r="M281" s="72">
        <f>23544.99*1.05/3</f>
        <v>8240.7465000000011</v>
      </c>
      <c r="N281" s="72">
        <f>23544.99*1.05/3</f>
        <v>8240.7465000000011</v>
      </c>
      <c r="O281" s="72">
        <f>23544.99*1.05/3</f>
        <v>8240.7465000000011</v>
      </c>
      <c r="P281" s="72">
        <v>0</v>
      </c>
      <c r="Q281" s="72">
        <f>1883.07*1.05</f>
        <v>1977.2235000000001</v>
      </c>
      <c r="R281" s="72">
        <f>5768.24*1.05</f>
        <v>6056.652</v>
      </c>
      <c r="Z281" s="72">
        <v>122423.41</v>
      </c>
      <c r="AA281" s="45">
        <f t="shared" si="135"/>
        <v>3.999999986262992E-3</v>
      </c>
      <c r="AG281" s="45">
        <f>116593.72*1.03</f>
        <v>120091.5316</v>
      </c>
      <c r="AI281" s="45">
        <f t="shared" si="145"/>
        <v>122423.40600000002</v>
      </c>
    </row>
    <row r="282" spans="2:35" x14ac:dyDescent="0.2">
      <c r="B282" s="69" t="s">
        <v>548</v>
      </c>
      <c r="C282" s="69" t="s">
        <v>27</v>
      </c>
      <c r="D282" s="70" t="s">
        <v>90</v>
      </c>
      <c r="E282" s="60"/>
      <c r="F282" s="71">
        <f t="shared" si="143"/>
        <v>20060.103000000003</v>
      </c>
      <c r="G282" s="72">
        <f>3439.31*1.05</f>
        <v>3611.2755000000002</v>
      </c>
      <c r="H282" s="72">
        <f>1419.82*1.05</f>
        <v>1490.8109999999999</v>
      </c>
      <c r="I282" s="72">
        <f>469.28*1.05</f>
        <v>492.74399999999997</v>
      </c>
      <c r="J282" s="72">
        <f>571.87*1.05</f>
        <v>600.46350000000007</v>
      </c>
      <c r="K282" s="72">
        <f>715.57*1.05</f>
        <v>751.34850000000006</v>
      </c>
      <c r="L282" s="72">
        <f>1010.83*1.05</f>
        <v>1061.3715000000002</v>
      </c>
      <c r="M282" s="72">
        <f>1247.81*1.05/3</f>
        <v>436.73349999999999</v>
      </c>
      <c r="N282" s="72">
        <f t="shared" ref="N282:O282" si="146">1247.81*1.05/3</f>
        <v>436.73349999999999</v>
      </c>
      <c r="O282" s="72">
        <f t="shared" si="146"/>
        <v>436.73349999999999</v>
      </c>
      <c r="P282" s="72">
        <f>460.84*1.05</f>
        <v>483.88200000000001</v>
      </c>
      <c r="Q282" s="72">
        <f>9022.77*1.05</f>
        <v>9473.9085000000014</v>
      </c>
      <c r="R282" s="72">
        <f>746.76*1.05</f>
        <v>784.09800000000007</v>
      </c>
      <c r="Z282" s="72">
        <v>20060.099999999999</v>
      </c>
      <c r="AA282" s="45">
        <f t="shared" si="135"/>
        <v>-3.0000000042491592E-3</v>
      </c>
      <c r="AI282" s="45">
        <f t="shared" si="145"/>
        <v>20060.103000000003</v>
      </c>
    </row>
    <row r="283" spans="2:35" x14ac:dyDescent="0.2">
      <c r="B283" s="69" t="s">
        <v>549</v>
      </c>
      <c r="C283" s="69" t="s">
        <v>27</v>
      </c>
      <c r="D283" s="70" t="s">
        <v>92</v>
      </c>
      <c r="E283" s="60"/>
      <c r="F283" s="71">
        <f t="shared" si="143"/>
        <v>989.66700000000014</v>
      </c>
      <c r="G283" s="72">
        <f>330.16*1.05</f>
        <v>346.66800000000006</v>
      </c>
      <c r="H283" s="72">
        <f>17.18*1.05</f>
        <v>18.039000000000001</v>
      </c>
      <c r="I283" s="72">
        <f>405.79*1.05</f>
        <v>426.07950000000005</v>
      </c>
      <c r="J283" s="72">
        <v>0</v>
      </c>
      <c r="K283" s="72">
        <v>0</v>
      </c>
      <c r="L283" s="72">
        <f>164.63*1.05</f>
        <v>172.86150000000001</v>
      </c>
      <c r="M283" s="72">
        <v>0</v>
      </c>
      <c r="N283" s="72">
        <v>0</v>
      </c>
      <c r="O283" s="72">
        <f>24.78*1.05</f>
        <v>26.019000000000002</v>
      </c>
      <c r="P283" s="72">
        <v>0</v>
      </c>
      <c r="Q283" s="72">
        <v>0</v>
      </c>
      <c r="R283" s="72">
        <v>0</v>
      </c>
      <c r="Z283" s="72">
        <v>989.67</v>
      </c>
      <c r="AA283" s="45">
        <f t="shared" si="135"/>
        <v>2.9999999998153726E-3</v>
      </c>
      <c r="AI283" s="45">
        <f t="shared" si="145"/>
        <v>989.66700000000014</v>
      </c>
    </row>
    <row r="284" spans="2:35" x14ac:dyDescent="0.2">
      <c r="B284" s="69" t="s">
        <v>550</v>
      </c>
      <c r="C284" s="69" t="s">
        <v>27</v>
      </c>
      <c r="D284" s="70" t="s">
        <v>94</v>
      </c>
      <c r="E284" s="60"/>
      <c r="F284" s="71">
        <f t="shared" si="143"/>
        <v>4443.7785000000003</v>
      </c>
      <c r="G284" s="72">
        <f>1339.25*1.05</f>
        <v>1406.2125000000001</v>
      </c>
      <c r="H284" s="72">
        <f>1065.67*1.05</f>
        <v>1118.9535000000001</v>
      </c>
      <c r="I284" s="72">
        <f>783.25*1.05</f>
        <v>822.41250000000002</v>
      </c>
      <c r="J284" s="72">
        <f>80.8*1.05</f>
        <v>84.84</v>
      </c>
      <c r="K284" s="72">
        <f>68.13*1.05</f>
        <v>71.536500000000004</v>
      </c>
      <c r="L284" s="72">
        <f>409.22*1.05</f>
        <v>429.68100000000004</v>
      </c>
      <c r="M284" s="72">
        <v>0</v>
      </c>
      <c r="N284" s="72">
        <v>0</v>
      </c>
      <c r="O284" s="72">
        <f>485.85*1.05</f>
        <v>510.14250000000004</v>
      </c>
      <c r="P284" s="72">
        <v>0</v>
      </c>
      <c r="Q284" s="72">
        <v>0</v>
      </c>
      <c r="R284" s="72">
        <v>0</v>
      </c>
      <c r="Z284" s="72">
        <v>4443.78</v>
      </c>
      <c r="AA284" s="45">
        <f t="shared" si="135"/>
        <v>1.4999999993960955E-3</v>
      </c>
      <c r="AI284" s="45">
        <f t="shared" si="145"/>
        <v>4443.7785000000003</v>
      </c>
    </row>
    <row r="285" spans="2:35" x14ac:dyDescent="0.2">
      <c r="B285" s="69" t="s">
        <v>551</v>
      </c>
      <c r="C285" s="69" t="s">
        <v>27</v>
      </c>
      <c r="D285" s="70" t="s">
        <v>96</v>
      </c>
      <c r="E285" s="60"/>
      <c r="F285" s="71">
        <f t="shared" si="143"/>
        <v>235.90350000000001</v>
      </c>
      <c r="G285" s="72">
        <f>224.67*1.05</f>
        <v>235.90350000000001</v>
      </c>
      <c r="H285" s="72">
        <v>0</v>
      </c>
      <c r="I285" s="72">
        <v>0</v>
      </c>
      <c r="J285" s="72">
        <v>0</v>
      </c>
      <c r="K285" s="72">
        <v>0</v>
      </c>
      <c r="L285" s="72">
        <v>0</v>
      </c>
      <c r="M285" s="72">
        <v>0</v>
      </c>
      <c r="N285" s="72">
        <v>0</v>
      </c>
      <c r="O285" s="72">
        <v>0</v>
      </c>
      <c r="P285" s="72">
        <v>0</v>
      </c>
      <c r="Q285" s="72">
        <v>0</v>
      </c>
      <c r="R285" s="72">
        <v>0</v>
      </c>
      <c r="Z285" s="72">
        <v>235.9</v>
      </c>
      <c r="AA285" s="45">
        <f t="shared" si="135"/>
        <v>-3.5000000000025011E-3</v>
      </c>
      <c r="AI285" s="45">
        <f t="shared" si="145"/>
        <v>235.90350000000001</v>
      </c>
    </row>
    <row r="286" spans="2:35" x14ac:dyDescent="0.2">
      <c r="B286" s="57" t="s">
        <v>552</v>
      </c>
      <c r="C286" s="57"/>
      <c r="D286" s="59" t="s">
        <v>553</v>
      </c>
      <c r="E286" s="60"/>
      <c r="F286" s="61">
        <f>+F287</f>
        <v>11097.04</v>
      </c>
      <c r="G286" s="48">
        <f t="shared" ref="G286:Z286" si="147">+G287</f>
        <v>1000</v>
      </c>
      <c r="H286" s="48">
        <f t="shared" si="147"/>
        <v>300</v>
      </c>
      <c r="I286" s="48">
        <f t="shared" si="147"/>
        <v>0</v>
      </c>
      <c r="J286" s="48">
        <f t="shared" si="147"/>
        <v>300</v>
      </c>
      <c r="K286" s="48">
        <f t="shared" si="147"/>
        <v>0</v>
      </c>
      <c r="L286" s="48">
        <f t="shared" si="147"/>
        <v>300</v>
      </c>
      <c r="M286" s="48">
        <f t="shared" si="147"/>
        <v>0</v>
      </c>
      <c r="N286" s="48">
        <f t="shared" si="147"/>
        <v>0</v>
      </c>
      <c r="O286" s="48">
        <f t="shared" si="147"/>
        <v>305.74</v>
      </c>
      <c r="P286" s="48">
        <f t="shared" si="147"/>
        <v>200</v>
      </c>
      <c r="Q286" s="48">
        <f t="shared" si="147"/>
        <v>3107.5</v>
      </c>
      <c r="R286" s="48">
        <f t="shared" si="147"/>
        <v>5583.8</v>
      </c>
      <c r="Z286" s="48">
        <f t="shared" si="147"/>
        <v>11097.04</v>
      </c>
      <c r="AA286" s="45">
        <f t="shared" si="135"/>
        <v>0</v>
      </c>
      <c r="AH286" s="51">
        <f t="shared" ref="AH286:AH325" si="148">+AG286-F286</f>
        <v>-11097.04</v>
      </c>
      <c r="AI286" s="45"/>
    </row>
    <row r="287" spans="2:35" x14ac:dyDescent="0.2">
      <c r="B287" s="69" t="s">
        <v>554</v>
      </c>
      <c r="C287" s="69" t="s">
        <v>555</v>
      </c>
      <c r="D287" s="70" t="s">
        <v>556</v>
      </c>
      <c r="E287" s="60"/>
      <c r="F287" s="71">
        <f>SUM(G287:R287)</f>
        <v>11097.04</v>
      </c>
      <c r="G287" s="72">
        <v>1000</v>
      </c>
      <c r="H287" s="72">
        <v>300</v>
      </c>
      <c r="I287" s="72">
        <v>0</v>
      </c>
      <c r="J287" s="72">
        <v>300</v>
      </c>
      <c r="K287" s="72">
        <v>0</v>
      </c>
      <c r="L287" s="72">
        <v>300</v>
      </c>
      <c r="M287" s="72">
        <v>0</v>
      </c>
      <c r="N287" s="72">
        <v>0</v>
      </c>
      <c r="O287" s="72">
        <v>305.74</v>
      </c>
      <c r="P287" s="72">
        <v>200</v>
      </c>
      <c r="Q287" s="72">
        <v>3107.5</v>
      </c>
      <c r="R287" s="72">
        <v>5583.8</v>
      </c>
      <c r="Z287" s="72">
        <v>11097.04</v>
      </c>
      <c r="AA287" s="45">
        <f t="shared" si="135"/>
        <v>0</v>
      </c>
      <c r="AG287" s="32">
        <f>10191.3*1.03</f>
        <v>10497.038999999999</v>
      </c>
      <c r="AH287" s="51">
        <f t="shared" si="148"/>
        <v>-600.00100000000202</v>
      </c>
      <c r="AI287" s="45">
        <f>+F287</f>
        <v>11097.04</v>
      </c>
    </row>
    <row r="288" spans="2:35" x14ac:dyDescent="0.2">
      <c r="B288" s="57" t="s">
        <v>557</v>
      </c>
      <c r="C288" s="57"/>
      <c r="D288" s="59" t="s">
        <v>252</v>
      </c>
      <c r="E288" s="60"/>
      <c r="F288" s="61">
        <f>SUM(F289:F290)</f>
        <v>10637.7</v>
      </c>
      <c r="G288" s="48">
        <f t="shared" ref="G288:R288" si="149">SUM(G289:G290)</f>
        <v>386.25</v>
      </c>
      <c r="H288" s="48">
        <f t="shared" si="149"/>
        <v>386.25</v>
      </c>
      <c r="I288" s="48">
        <f t="shared" si="149"/>
        <v>386.25</v>
      </c>
      <c r="J288" s="48">
        <f t="shared" si="149"/>
        <v>386.25</v>
      </c>
      <c r="K288" s="48">
        <f t="shared" si="149"/>
        <v>92.7</v>
      </c>
      <c r="L288" s="48">
        <f t="shared" si="149"/>
        <v>3000</v>
      </c>
      <c r="M288" s="48">
        <f t="shared" si="149"/>
        <v>0</v>
      </c>
      <c r="N288" s="48">
        <f t="shared" si="149"/>
        <v>0</v>
      </c>
      <c r="O288" s="48">
        <f t="shared" si="149"/>
        <v>3000</v>
      </c>
      <c r="P288" s="48">
        <f t="shared" si="149"/>
        <v>0</v>
      </c>
      <c r="Q288" s="48">
        <f t="shared" si="149"/>
        <v>0</v>
      </c>
      <c r="R288" s="48">
        <f t="shared" si="149"/>
        <v>3000</v>
      </c>
      <c r="Z288" s="48">
        <f t="shared" ref="Z288" si="150">SUM(Z289:Z290)</f>
        <v>10637.7</v>
      </c>
      <c r="AA288" s="45">
        <f t="shared" si="135"/>
        <v>0</v>
      </c>
      <c r="AH288" s="51">
        <f t="shared" si="148"/>
        <v>-10637.7</v>
      </c>
      <c r="AI288" s="45"/>
    </row>
    <row r="289" spans="2:35" x14ac:dyDescent="0.2">
      <c r="B289" s="69" t="s">
        <v>558</v>
      </c>
      <c r="C289" s="69" t="s">
        <v>27</v>
      </c>
      <c r="D289" s="70" t="s">
        <v>559</v>
      </c>
      <c r="E289" s="60"/>
      <c r="F289" s="71">
        <f>SUM(G289:R289)</f>
        <v>10637.7</v>
      </c>
      <c r="G289" s="72">
        <v>386.25</v>
      </c>
      <c r="H289" s="72">
        <v>386.25</v>
      </c>
      <c r="I289" s="72">
        <v>386.25</v>
      </c>
      <c r="J289" s="72">
        <v>386.25</v>
      </c>
      <c r="K289" s="72">
        <v>92.7</v>
      </c>
      <c r="L289" s="72">
        <v>3000</v>
      </c>
      <c r="M289" s="72">
        <v>0</v>
      </c>
      <c r="N289" s="72">
        <v>0</v>
      </c>
      <c r="O289" s="72">
        <v>3000</v>
      </c>
      <c r="P289" s="72">
        <v>0</v>
      </c>
      <c r="Q289" s="72">
        <v>0</v>
      </c>
      <c r="R289" s="72">
        <v>3000</v>
      </c>
      <c r="Z289" s="72">
        <v>10637.7</v>
      </c>
      <c r="AA289" s="45">
        <f t="shared" si="135"/>
        <v>0</v>
      </c>
      <c r="AG289" s="32">
        <f>90*1.03</f>
        <v>92.7</v>
      </c>
      <c r="AH289" s="51">
        <f t="shared" si="148"/>
        <v>-10545</v>
      </c>
      <c r="AI289" s="45">
        <f>+F289</f>
        <v>10637.7</v>
      </c>
    </row>
    <row r="290" spans="2:35" x14ac:dyDescent="0.2">
      <c r="B290" s="69" t="s">
        <v>560</v>
      </c>
      <c r="C290" s="69"/>
      <c r="D290" s="70" t="s">
        <v>561</v>
      </c>
      <c r="E290" s="60"/>
      <c r="F290" s="71">
        <f>SUM(G290:R290)</f>
        <v>0</v>
      </c>
      <c r="G290" s="72">
        <v>0</v>
      </c>
      <c r="H290" s="72">
        <v>0</v>
      </c>
      <c r="I290" s="72">
        <v>0</v>
      </c>
      <c r="J290" s="72">
        <v>0</v>
      </c>
      <c r="K290" s="72">
        <v>0</v>
      </c>
      <c r="L290" s="72">
        <v>0</v>
      </c>
      <c r="M290" s="72">
        <v>0</v>
      </c>
      <c r="N290" s="72">
        <v>0</v>
      </c>
      <c r="O290" s="72">
        <v>0</v>
      </c>
      <c r="P290" s="72">
        <v>0</v>
      </c>
      <c r="Q290" s="72">
        <v>0</v>
      </c>
      <c r="R290" s="72">
        <v>0</v>
      </c>
      <c r="Z290" s="72">
        <v>0</v>
      </c>
      <c r="AA290" s="45">
        <f t="shared" si="135"/>
        <v>0</v>
      </c>
      <c r="AG290" s="32">
        <f>1500*1.03</f>
        <v>1545</v>
      </c>
      <c r="AH290" s="51">
        <f t="shared" si="148"/>
        <v>1545</v>
      </c>
      <c r="AI290" s="45">
        <f>+F290</f>
        <v>0</v>
      </c>
    </row>
    <row r="291" spans="2:35" x14ac:dyDescent="0.2">
      <c r="B291" s="57" t="s">
        <v>562</v>
      </c>
      <c r="C291" s="57"/>
      <c r="D291" s="59" t="s">
        <v>563</v>
      </c>
      <c r="E291" s="60"/>
      <c r="F291" s="61">
        <f>+F292</f>
        <v>95000</v>
      </c>
      <c r="G291" s="48">
        <f t="shared" ref="G291:Z291" si="151">+G292</f>
        <v>0</v>
      </c>
      <c r="H291" s="48">
        <f t="shared" si="151"/>
        <v>0</v>
      </c>
      <c r="I291" s="48">
        <f t="shared" si="151"/>
        <v>40000</v>
      </c>
      <c r="J291" s="48">
        <f t="shared" si="151"/>
        <v>0</v>
      </c>
      <c r="K291" s="48">
        <f t="shared" si="151"/>
        <v>0</v>
      </c>
      <c r="L291" s="48">
        <f t="shared" si="151"/>
        <v>0</v>
      </c>
      <c r="M291" s="48">
        <f t="shared" si="151"/>
        <v>20000</v>
      </c>
      <c r="N291" s="48">
        <f t="shared" si="151"/>
        <v>0</v>
      </c>
      <c r="O291" s="48">
        <f t="shared" si="151"/>
        <v>0</v>
      </c>
      <c r="P291" s="48">
        <f t="shared" si="151"/>
        <v>15000</v>
      </c>
      <c r="Q291" s="48">
        <f t="shared" si="151"/>
        <v>0</v>
      </c>
      <c r="R291" s="48">
        <f t="shared" si="151"/>
        <v>20000</v>
      </c>
      <c r="Z291" s="48">
        <f t="shared" si="151"/>
        <v>95000</v>
      </c>
      <c r="AA291" s="45">
        <f t="shared" si="135"/>
        <v>0</v>
      </c>
      <c r="AH291" s="51">
        <f t="shared" si="148"/>
        <v>-95000</v>
      </c>
      <c r="AI291" s="45"/>
    </row>
    <row r="292" spans="2:35" x14ac:dyDescent="0.2">
      <c r="B292" s="69" t="s">
        <v>564</v>
      </c>
      <c r="C292" s="69" t="s">
        <v>565</v>
      </c>
      <c r="D292" s="87" t="s">
        <v>566</v>
      </c>
      <c r="E292" s="60"/>
      <c r="F292" s="71">
        <f>SUM(G292:R292)</f>
        <v>95000</v>
      </c>
      <c r="G292" s="72">
        <v>0</v>
      </c>
      <c r="H292" s="72">
        <v>0</v>
      </c>
      <c r="I292" s="72">
        <v>40000</v>
      </c>
      <c r="J292" s="72">
        <v>0</v>
      </c>
      <c r="K292" s="72">
        <v>0</v>
      </c>
      <c r="L292" s="72">
        <v>0</v>
      </c>
      <c r="M292" s="72">
        <v>20000</v>
      </c>
      <c r="N292" s="72">
        <v>0</v>
      </c>
      <c r="O292" s="72">
        <v>0</v>
      </c>
      <c r="P292" s="72">
        <v>15000</v>
      </c>
      <c r="Q292" s="72">
        <v>0</v>
      </c>
      <c r="R292" s="72">
        <v>20000</v>
      </c>
      <c r="Z292" s="72">
        <v>95000</v>
      </c>
      <c r="AA292" s="45">
        <f t="shared" si="135"/>
        <v>0</v>
      </c>
      <c r="AG292" s="32">
        <f>222000*1.03</f>
        <v>228660</v>
      </c>
      <c r="AH292" s="51">
        <f t="shared" si="148"/>
        <v>133660</v>
      </c>
      <c r="AI292" s="45">
        <f>+F292</f>
        <v>95000</v>
      </c>
    </row>
    <row r="293" spans="2:35" x14ac:dyDescent="0.2">
      <c r="B293" s="57" t="s">
        <v>567</v>
      </c>
      <c r="C293" s="57"/>
      <c r="D293" s="59" t="s">
        <v>568</v>
      </c>
      <c r="E293" s="60"/>
      <c r="F293" s="61">
        <f>+F294</f>
        <v>2575</v>
      </c>
      <c r="G293" s="48">
        <f t="shared" ref="G293:Z293" si="152">+G294</f>
        <v>1575</v>
      </c>
      <c r="H293" s="48">
        <f t="shared" si="152"/>
        <v>1000</v>
      </c>
      <c r="I293" s="48">
        <f t="shared" si="152"/>
        <v>0</v>
      </c>
      <c r="J293" s="48">
        <f t="shared" si="152"/>
        <v>0</v>
      </c>
      <c r="K293" s="48">
        <f t="shared" si="152"/>
        <v>0</v>
      </c>
      <c r="L293" s="48">
        <f t="shared" si="152"/>
        <v>0</v>
      </c>
      <c r="M293" s="48">
        <f t="shared" si="152"/>
        <v>0</v>
      </c>
      <c r="N293" s="48">
        <f t="shared" si="152"/>
        <v>0</v>
      </c>
      <c r="O293" s="48">
        <f t="shared" si="152"/>
        <v>0</v>
      </c>
      <c r="P293" s="48">
        <f t="shared" si="152"/>
        <v>0</v>
      </c>
      <c r="Q293" s="48">
        <f t="shared" si="152"/>
        <v>0</v>
      </c>
      <c r="R293" s="48">
        <f t="shared" si="152"/>
        <v>0</v>
      </c>
      <c r="Z293" s="48">
        <f t="shared" si="152"/>
        <v>2575</v>
      </c>
      <c r="AA293" s="45">
        <f t="shared" si="135"/>
        <v>0</v>
      </c>
      <c r="AH293" s="51">
        <f t="shared" si="148"/>
        <v>-2575</v>
      </c>
      <c r="AI293" s="45"/>
    </row>
    <row r="294" spans="2:35" ht="10.5" customHeight="1" x14ac:dyDescent="0.2">
      <c r="B294" s="69" t="s">
        <v>569</v>
      </c>
      <c r="C294" s="69" t="s">
        <v>555</v>
      </c>
      <c r="D294" s="70" t="s">
        <v>570</v>
      </c>
      <c r="E294" s="60"/>
      <c r="F294" s="71">
        <f>SUM(G294:R294)</f>
        <v>2575</v>
      </c>
      <c r="G294" s="72">
        <v>1575</v>
      </c>
      <c r="H294" s="72">
        <v>1000</v>
      </c>
      <c r="I294" s="72">
        <v>0</v>
      </c>
      <c r="J294" s="72">
        <v>0</v>
      </c>
      <c r="K294" s="72">
        <v>0</v>
      </c>
      <c r="L294" s="72">
        <v>0</v>
      </c>
      <c r="M294" s="72">
        <v>0</v>
      </c>
      <c r="N294" s="72">
        <v>0</v>
      </c>
      <c r="O294" s="72">
        <v>0</v>
      </c>
      <c r="P294" s="72">
        <v>0</v>
      </c>
      <c r="Q294" s="72">
        <v>0</v>
      </c>
      <c r="R294" s="72">
        <v>0</v>
      </c>
      <c r="Z294" s="72">
        <v>2575</v>
      </c>
      <c r="AA294" s="45">
        <f t="shared" si="135"/>
        <v>0</v>
      </c>
      <c r="AG294" s="32">
        <f>2500*1.03</f>
        <v>2575</v>
      </c>
      <c r="AH294" s="51">
        <f t="shared" si="148"/>
        <v>0</v>
      </c>
      <c r="AI294" s="45">
        <f>+F294</f>
        <v>2575</v>
      </c>
    </row>
    <row r="295" spans="2:35" s="62" customFormat="1" x14ac:dyDescent="0.2">
      <c r="B295" s="63" t="s">
        <v>571</v>
      </c>
      <c r="C295" s="63"/>
      <c r="D295" s="64" t="s">
        <v>572</v>
      </c>
      <c r="E295" s="65"/>
      <c r="F295" s="66">
        <f>+F296</f>
        <v>0</v>
      </c>
      <c r="G295" s="67">
        <f t="shared" ref="G295:Z297" si="153">+G296</f>
        <v>0</v>
      </c>
      <c r="H295" s="67">
        <f t="shared" si="153"/>
        <v>0</v>
      </c>
      <c r="I295" s="67">
        <f t="shared" si="153"/>
        <v>0</v>
      </c>
      <c r="J295" s="67">
        <f t="shared" si="153"/>
        <v>0</v>
      </c>
      <c r="K295" s="67">
        <f t="shared" si="153"/>
        <v>0</v>
      </c>
      <c r="L295" s="67">
        <f t="shared" si="153"/>
        <v>0</v>
      </c>
      <c r="M295" s="67">
        <f t="shared" si="153"/>
        <v>0</v>
      </c>
      <c r="N295" s="67">
        <f t="shared" si="153"/>
        <v>0</v>
      </c>
      <c r="O295" s="67">
        <f t="shared" si="153"/>
        <v>0</v>
      </c>
      <c r="P295" s="67">
        <f t="shared" si="153"/>
        <v>0</v>
      </c>
      <c r="Q295" s="67">
        <f t="shared" si="153"/>
        <v>0</v>
      </c>
      <c r="R295" s="67">
        <f t="shared" si="153"/>
        <v>0</v>
      </c>
      <c r="T295" s="29"/>
      <c r="U295" s="29"/>
      <c r="V295" s="29"/>
      <c r="W295" s="29"/>
      <c r="X295" s="29"/>
      <c r="Y295" s="29"/>
      <c r="Z295" s="67">
        <f t="shared" si="153"/>
        <v>0</v>
      </c>
      <c r="AA295" s="45">
        <f t="shared" si="135"/>
        <v>0</v>
      </c>
      <c r="AG295" s="32"/>
      <c r="AH295" s="51">
        <f t="shared" si="148"/>
        <v>0</v>
      </c>
      <c r="AI295" s="84"/>
    </row>
    <row r="296" spans="2:35" x14ac:dyDescent="0.2">
      <c r="B296" s="57" t="s">
        <v>573</v>
      </c>
      <c r="C296" s="57"/>
      <c r="D296" s="59" t="s">
        <v>574</v>
      </c>
      <c r="E296" s="60"/>
      <c r="F296" s="61">
        <f>+F297</f>
        <v>0</v>
      </c>
      <c r="G296" s="48">
        <f t="shared" si="153"/>
        <v>0</v>
      </c>
      <c r="H296" s="48">
        <f t="shared" si="153"/>
        <v>0</v>
      </c>
      <c r="I296" s="48">
        <f t="shared" si="153"/>
        <v>0</v>
      </c>
      <c r="J296" s="48">
        <f t="shared" si="153"/>
        <v>0</v>
      </c>
      <c r="K296" s="48">
        <f t="shared" si="153"/>
        <v>0</v>
      </c>
      <c r="L296" s="48">
        <f t="shared" si="153"/>
        <v>0</v>
      </c>
      <c r="M296" s="48">
        <f t="shared" si="153"/>
        <v>0</v>
      </c>
      <c r="N296" s="48">
        <f t="shared" si="153"/>
        <v>0</v>
      </c>
      <c r="O296" s="48">
        <f t="shared" si="153"/>
        <v>0</v>
      </c>
      <c r="P296" s="48">
        <f t="shared" si="153"/>
        <v>0</v>
      </c>
      <c r="Q296" s="48">
        <f t="shared" si="153"/>
        <v>0</v>
      </c>
      <c r="R296" s="48">
        <f t="shared" si="153"/>
        <v>0</v>
      </c>
      <c r="Z296" s="48">
        <f t="shared" si="153"/>
        <v>0</v>
      </c>
      <c r="AA296" s="45">
        <f t="shared" si="135"/>
        <v>0</v>
      </c>
      <c r="AH296" s="51">
        <f t="shared" si="148"/>
        <v>0</v>
      </c>
      <c r="AI296" s="45"/>
    </row>
    <row r="297" spans="2:35" x14ac:dyDescent="0.2">
      <c r="B297" s="57" t="s">
        <v>575</v>
      </c>
      <c r="C297" s="57"/>
      <c r="D297" s="59" t="s">
        <v>576</v>
      </c>
      <c r="E297" s="60"/>
      <c r="F297" s="61">
        <f>+F298</f>
        <v>0</v>
      </c>
      <c r="G297" s="48">
        <f t="shared" si="153"/>
        <v>0</v>
      </c>
      <c r="H297" s="48">
        <f t="shared" si="153"/>
        <v>0</v>
      </c>
      <c r="I297" s="48">
        <f t="shared" si="153"/>
        <v>0</v>
      </c>
      <c r="J297" s="48">
        <f t="shared" si="153"/>
        <v>0</v>
      </c>
      <c r="K297" s="48">
        <f t="shared" si="153"/>
        <v>0</v>
      </c>
      <c r="L297" s="48">
        <f t="shared" si="153"/>
        <v>0</v>
      </c>
      <c r="M297" s="48">
        <f t="shared" si="153"/>
        <v>0</v>
      </c>
      <c r="N297" s="48">
        <f t="shared" si="153"/>
        <v>0</v>
      </c>
      <c r="O297" s="48">
        <f t="shared" si="153"/>
        <v>0</v>
      </c>
      <c r="P297" s="48">
        <f t="shared" si="153"/>
        <v>0</v>
      </c>
      <c r="Q297" s="48">
        <f t="shared" si="153"/>
        <v>0</v>
      </c>
      <c r="R297" s="48">
        <f t="shared" si="153"/>
        <v>0</v>
      </c>
      <c r="Z297" s="48">
        <f t="shared" si="153"/>
        <v>0</v>
      </c>
      <c r="AA297" s="45">
        <f t="shared" si="135"/>
        <v>0</v>
      </c>
      <c r="AH297" s="51">
        <f t="shared" si="148"/>
        <v>0</v>
      </c>
      <c r="AI297" s="45"/>
    </row>
    <row r="298" spans="2:35" x14ac:dyDescent="0.2">
      <c r="B298" s="69" t="s">
        <v>577</v>
      </c>
      <c r="C298" s="69"/>
      <c r="D298" s="70" t="s">
        <v>252</v>
      </c>
      <c r="E298" s="60"/>
      <c r="F298" s="71">
        <f>SUM(G298:R298)</f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  <c r="Q298" s="72">
        <v>0</v>
      </c>
      <c r="R298" s="72">
        <v>0</v>
      </c>
      <c r="Z298" s="72">
        <v>0</v>
      </c>
      <c r="AA298" s="45">
        <f t="shared" si="135"/>
        <v>0</v>
      </c>
      <c r="AH298" s="51">
        <f t="shared" si="148"/>
        <v>0</v>
      </c>
      <c r="AI298" s="45">
        <f>+F298</f>
        <v>0</v>
      </c>
    </row>
    <row r="299" spans="2:35" x14ac:dyDescent="0.2">
      <c r="B299" s="57" t="s">
        <v>578</v>
      </c>
      <c r="C299" s="57"/>
      <c r="D299" s="59" t="s">
        <v>579</v>
      </c>
      <c r="E299" s="60"/>
      <c r="F299" s="61">
        <f t="shared" ref="F299:S299" si="154">+F300+F317+F322</f>
        <v>110552696.73600002</v>
      </c>
      <c r="G299" s="48">
        <f t="shared" si="154"/>
        <v>8900780.5156000014</v>
      </c>
      <c r="H299" s="48">
        <f t="shared" si="154"/>
        <v>10388053.535600001</v>
      </c>
      <c r="I299" s="48">
        <f t="shared" si="154"/>
        <v>11805794.895599999</v>
      </c>
      <c r="J299" s="48">
        <f t="shared" si="154"/>
        <v>8868371.7656000014</v>
      </c>
      <c r="K299" s="48">
        <f t="shared" si="154"/>
        <v>9822911.2956000008</v>
      </c>
      <c r="L299" s="48">
        <f t="shared" si="154"/>
        <v>10211425.8256</v>
      </c>
      <c r="M299" s="48">
        <f t="shared" si="154"/>
        <v>10374161.045600001</v>
      </c>
      <c r="N299" s="48">
        <f t="shared" si="154"/>
        <v>9603225.1855999995</v>
      </c>
      <c r="O299" s="48">
        <f t="shared" si="154"/>
        <v>9769206.8455999997</v>
      </c>
      <c r="P299" s="48">
        <f t="shared" si="154"/>
        <v>8986943.9756000005</v>
      </c>
      <c r="Q299" s="48">
        <f t="shared" si="154"/>
        <v>5617146.8899999997</v>
      </c>
      <c r="R299" s="48">
        <f t="shared" si="154"/>
        <v>6204674.96</v>
      </c>
      <c r="S299" s="82">
        <f t="shared" si="154"/>
        <v>0</v>
      </c>
      <c r="T299" s="81"/>
      <c r="U299" s="81"/>
      <c r="V299" s="81"/>
      <c r="W299" s="81"/>
      <c r="X299" s="81"/>
      <c r="Y299" s="81"/>
      <c r="Z299" s="48">
        <f>+Z300+Z317+Z322</f>
        <v>110552696.74000001</v>
      </c>
      <c r="AA299" s="45">
        <f t="shared" si="135"/>
        <v>3.9999932050704956E-3</v>
      </c>
      <c r="AB299" s="82"/>
      <c r="AC299" s="82"/>
      <c r="AD299" s="82"/>
      <c r="AE299" s="82"/>
      <c r="AF299" s="82"/>
      <c r="AH299" s="51">
        <f t="shared" si="148"/>
        <v>-110552696.73600002</v>
      </c>
      <c r="AI299" s="45"/>
    </row>
    <row r="300" spans="2:35" s="62" customFormat="1" x14ac:dyDescent="0.2">
      <c r="B300" s="63" t="s">
        <v>580</v>
      </c>
      <c r="C300" s="63"/>
      <c r="D300" s="64" t="s">
        <v>581</v>
      </c>
      <c r="E300" s="65"/>
      <c r="F300" s="66">
        <f>+F301</f>
        <v>80558018.12000002</v>
      </c>
      <c r="G300" s="67">
        <f t="shared" ref="G300:Z300" si="155">+G301</f>
        <v>6052481.8400000008</v>
      </c>
      <c r="H300" s="67">
        <f t="shared" si="155"/>
        <v>7539754.8600000003</v>
      </c>
      <c r="I300" s="67">
        <f t="shared" si="155"/>
        <v>8957496.2199999988</v>
      </c>
      <c r="J300" s="67">
        <f t="shared" si="155"/>
        <v>6020073.0900000008</v>
      </c>
      <c r="K300" s="67">
        <f t="shared" si="155"/>
        <v>6974612.6200000001</v>
      </c>
      <c r="L300" s="67">
        <f t="shared" si="155"/>
        <v>7363127.1500000004</v>
      </c>
      <c r="M300" s="67">
        <f t="shared" si="155"/>
        <v>7525862.3700000001</v>
      </c>
      <c r="N300" s="67">
        <f t="shared" si="155"/>
        <v>6754926.5099999998</v>
      </c>
      <c r="O300" s="67">
        <f t="shared" si="155"/>
        <v>6920908.1699999999</v>
      </c>
      <c r="P300" s="67">
        <f t="shared" si="155"/>
        <v>6138645.2999999998</v>
      </c>
      <c r="Q300" s="67">
        <f t="shared" si="155"/>
        <v>4861300.96</v>
      </c>
      <c r="R300" s="67">
        <f t="shared" si="155"/>
        <v>5448829.0300000003</v>
      </c>
      <c r="S300" s="95">
        <f t="shared" si="155"/>
        <v>0</v>
      </c>
      <c r="T300" s="81"/>
      <c r="U300" s="81"/>
      <c r="V300" s="81"/>
      <c r="W300" s="81"/>
      <c r="X300" s="81"/>
      <c r="Y300" s="81"/>
      <c r="Z300" s="67">
        <f t="shared" si="155"/>
        <v>80558018.120000005</v>
      </c>
      <c r="AA300" s="45">
        <f t="shared" si="135"/>
        <v>0</v>
      </c>
      <c r="AB300" s="95"/>
      <c r="AC300" s="95"/>
      <c r="AD300" s="95"/>
      <c r="AE300" s="95"/>
      <c r="AF300" s="95"/>
      <c r="AG300" s="32"/>
      <c r="AH300" s="51">
        <f t="shared" si="148"/>
        <v>-80558018.12000002</v>
      </c>
      <c r="AI300" s="84"/>
    </row>
    <row r="301" spans="2:35" x14ac:dyDescent="0.2">
      <c r="B301" s="57" t="s">
        <v>582</v>
      </c>
      <c r="C301" s="57"/>
      <c r="D301" s="59" t="s">
        <v>583</v>
      </c>
      <c r="E301" s="60"/>
      <c r="F301" s="61">
        <f t="shared" ref="F301:R301" si="156">+F302+F305+F306+F307+F308+F309+F310+F311+F312+F313+F314+F315+F316</f>
        <v>80558018.12000002</v>
      </c>
      <c r="G301" s="48">
        <f t="shared" si="156"/>
        <v>6052481.8400000008</v>
      </c>
      <c r="H301" s="48">
        <f t="shared" si="156"/>
        <v>7539754.8600000003</v>
      </c>
      <c r="I301" s="48">
        <f t="shared" si="156"/>
        <v>8957496.2199999988</v>
      </c>
      <c r="J301" s="48">
        <f t="shared" si="156"/>
        <v>6020073.0900000008</v>
      </c>
      <c r="K301" s="48">
        <f t="shared" si="156"/>
        <v>6974612.6200000001</v>
      </c>
      <c r="L301" s="48">
        <f t="shared" si="156"/>
        <v>7363127.1500000004</v>
      </c>
      <c r="M301" s="48">
        <f t="shared" si="156"/>
        <v>7525862.3700000001</v>
      </c>
      <c r="N301" s="48">
        <f t="shared" si="156"/>
        <v>6754926.5099999998</v>
      </c>
      <c r="O301" s="48">
        <f t="shared" si="156"/>
        <v>6920908.1699999999</v>
      </c>
      <c r="P301" s="48">
        <f t="shared" si="156"/>
        <v>6138645.2999999998</v>
      </c>
      <c r="Q301" s="48">
        <f t="shared" si="156"/>
        <v>4861300.96</v>
      </c>
      <c r="R301" s="48">
        <f t="shared" si="156"/>
        <v>5448829.0300000003</v>
      </c>
      <c r="S301" s="82">
        <f>+S302</f>
        <v>0</v>
      </c>
      <c r="T301" s="81"/>
      <c r="U301" s="81"/>
      <c r="V301" s="81"/>
      <c r="W301" s="81"/>
      <c r="X301" s="81"/>
      <c r="Y301" s="81"/>
      <c r="Z301" s="48">
        <f>+Z302+Z305+Z306+Z307+Z308+Z309+Z310+Z311+Z312+Z313+Z314+Z315+Z316</f>
        <v>80558018.120000005</v>
      </c>
      <c r="AA301" s="45">
        <f t="shared" si="135"/>
        <v>0</v>
      </c>
      <c r="AB301" s="82"/>
      <c r="AC301" s="82"/>
      <c r="AD301" s="82"/>
      <c r="AE301" s="82"/>
      <c r="AF301" s="82"/>
      <c r="AH301" s="51">
        <f t="shared" si="148"/>
        <v>-80558018.12000002</v>
      </c>
      <c r="AI301" s="45"/>
    </row>
    <row r="302" spans="2:35" x14ac:dyDescent="0.2">
      <c r="B302" s="57" t="s">
        <v>584</v>
      </c>
      <c r="C302" s="57"/>
      <c r="D302" s="59" t="s">
        <v>585</v>
      </c>
      <c r="E302" s="60"/>
      <c r="F302" s="61">
        <f t="shared" ref="F302:S302" si="157">SUM(F303:F304)</f>
        <v>2187994.36</v>
      </c>
      <c r="G302" s="48">
        <f t="shared" si="157"/>
        <v>110763.87</v>
      </c>
      <c r="H302" s="48">
        <f t="shared" si="157"/>
        <v>104845.64</v>
      </c>
      <c r="I302" s="48">
        <f t="shared" si="157"/>
        <v>139725.22</v>
      </c>
      <c r="J302" s="48">
        <f t="shared" si="157"/>
        <v>133001.46000000002</v>
      </c>
      <c r="K302" s="48">
        <f t="shared" si="157"/>
        <v>101733.14</v>
      </c>
      <c r="L302" s="48">
        <f t="shared" si="157"/>
        <v>767846.87</v>
      </c>
      <c r="M302" s="48">
        <f t="shared" si="157"/>
        <v>203196.25</v>
      </c>
      <c r="N302" s="48">
        <f t="shared" si="157"/>
        <v>131397.9</v>
      </c>
      <c r="O302" s="48">
        <f t="shared" si="157"/>
        <v>157702.63999999998</v>
      </c>
      <c r="P302" s="48">
        <f t="shared" si="157"/>
        <v>86517.87</v>
      </c>
      <c r="Q302" s="48">
        <f t="shared" si="157"/>
        <v>141807.26999999999</v>
      </c>
      <c r="R302" s="48">
        <f t="shared" si="157"/>
        <v>109456.23000000001</v>
      </c>
      <c r="S302" s="82">
        <f t="shared" si="157"/>
        <v>0</v>
      </c>
      <c r="T302" s="81"/>
      <c r="U302" s="81"/>
      <c r="V302" s="81"/>
      <c r="W302" s="81"/>
      <c r="X302" s="81"/>
      <c r="Y302" s="81"/>
      <c r="Z302" s="48">
        <f>SUM(Z303:Z304)</f>
        <v>2187994.36</v>
      </c>
      <c r="AA302" s="45">
        <f t="shared" si="135"/>
        <v>0</v>
      </c>
      <c r="AB302" s="82"/>
      <c r="AC302" s="82"/>
      <c r="AD302" s="82"/>
      <c r="AE302" s="82"/>
      <c r="AF302" s="82"/>
      <c r="AH302" s="51">
        <f t="shared" si="148"/>
        <v>-2187994.36</v>
      </c>
      <c r="AI302" s="45"/>
    </row>
    <row r="303" spans="2:35" x14ac:dyDescent="0.2">
      <c r="B303" s="69" t="s">
        <v>586</v>
      </c>
      <c r="C303" s="69" t="s">
        <v>27</v>
      </c>
      <c r="D303" s="70" t="s">
        <v>587</v>
      </c>
      <c r="E303" s="60"/>
      <c r="F303" s="73">
        <f t="shared" ref="F303:F316" si="158">SUM(G303:R303)</f>
        <v>1862480.46</v>
      </c>
      <c r="G303" s="74">
        <v>82482.73</v>
      </c>
      <c r="H303" s="74">
        <v>73143.89</v>
      </c>
      <c r="I303" s="74">
        <v>109560.44</v>
      </c>
      <c r="J303" s="74">
        <v>99651.07</v>
      </c>
      <c r="K303" s="74">
        <v>74847.89</v>
      </c>
      <c r="L303" s="74">
        <v>740278.52</v>
      </c>
      <c r="M303" s="74">
        <v>175535</v>
      </c>
      <c r="N303" s="74">
        <v>103088.46</v>
      </c>
      <c r="O303" s="74">
        <v>130470.65</v>
      </c>
      <c r="P303" s="74">
        <v>65773.62</v>
      </c>
      <c r="Q303" s="74">
        <v>123493.48</v>
      </c>
      <c r="R303" s="74">
        <v>84154.71</v>
      </c>
      <c r="S303" s="29"/>
      <c r="Z303" s="75">
        <v>1862480.46</v>
      </c>
      <c r="AA303" s="45">
        <f t="shared" si="135"/>
        <v>0</v>
      </c>
      <c r="AG303" s="32">
        <f>+F303*1.03</f>
        <v>1918354.8737999999</v>
      </c>
      <c r="AH303" s="51">
        <f t="shared" si="148"/>
        <v>55874.41379999998</v>
      </c>
      <c r="AI303" s="45">
        <f t="shared" ref="AI303:AI316" si="159">+F303</f>
        <v>1862480.46</v>
      </c>
    </row>
    <row r="304" spans="2:35" x14ac:dyDescent="0.2">
      <c r="B304" s="69" t="s">
        <v>588</v>
      </c>
      <c r="C304" s="69" t="s">
        <v>27</v>
      </c>
      <c r="D304" s="70" t="s">
        <v>589</v>
      </c>
      <c r="E304" s="60"/>
      <c r="F304" s="73">
        <f t="shared" si="158"/>
        <v>325513.89999999997</v>
      </c>
      <c r="G304" s="74">
        <v>28281.14</v>
      </c>
      <c r="H304" s="74">
        <v>31701.75</v>
      </c>
      <c r="I304" s="74">
        <v>30164.78</v>
      </c>
      <c r="J304" s="74">
        <v>33350.39</v>
      </c>
      <c r="K304" s="74">
        <v>26885.25</v>
      </c>
      <c r="L304" s="74">
        <v>27568.35</v>
      </c>
      <c r="M304" s="74">
        <v>27661.25</v>
      </c>
      <c r="N304" s="74">
        <v>28309.439999999999</v>
      </c>
      <c r="O304" s="74">
        <v>27231.99</v>
      </c>
      <c r="P304" s="74">
        <v>20744.25</v>
      </c>
      <c r="Q304" s="74">
        <v>18313.79</v>
      </c>
      <c r="R304" s="74">
        <v>25301.52</v>
      </c>
      <c r="S304" s="29"/>
      <c r="Z304" s="72">
        <v>325513.90000000002</v>
      </c>
      <c r="AA304" s="45">
        <f t="shared" si="135"/>
        <v>0</v>
      </c>
      <c r="AG304" s="32">
        <f>316032.91*1.03</f>
        <v>325513.89729999995</v>
      </c>
      <c r="AH304" s="51">
        <f t="shared" si="148"/>
        <v>-2.7000000118277967E-3</v>
      </c>
      <c r="AI304" s="45">
        <f t="shared" si="159"/>
        <v>325513.89999999997</v>
      </c>
    </row>
    <row r="305" spans="2:39" x14ac:dyDescent="0.2">
      <c r="B305" s="69" t="s">
        <v>590</v>
      </c>
      <c r="C305" s="69" t="s">
        <v>27</v>
      </c>
      <c r="D305" s="70" t="s">
        <v>591</v>
      </c>
      <c r="E305" s="60"/>
      <c r="F305" s="73">
        <f t="shared" si="158"/>
        <v>3070474.43</v>
      </c>
      <c r="G305" s="74">
        <v>220842.46</v>
      </c>
      <c r="H305" s="74">
        <v>243940.26</v>
      </c>
      <c r="I305" s="74">
        <v>323649.03000000003</v>
      </c>
      <c r="J305" s="74">
        <v>226453.88</v>
      </c>
      <c r="K305" s="74">
        <v>260701.69</v>
      </c>
      <c r="L305" s="74">
        <v>312942.53999999998</v>
      </c>
      <c r="M305" s="74">
        <v>336844.29</v>
      </c>
      <c r="N305" s="74">
        <v>265500.02</v>
      </c>
      <c r="O305" s="74">
        <v>259353.12</v>
      </c>
      <c r="P305" s="74">
        <v>223089.02</v>
      </c>
      <c r="Q305" s="74">
        <v>158605.29</v>
      </c>
      <c r="R305" s="74">
        <v>238552.83</v>
      </c>
      <c r="S305" s="29"/>
      <c r="Z305" s="75">
        <v>3070474.43</v>
      </c>
      <c r="AA305" s="45">
        <f t="shared" si="135"/>
        <v>0</v>
      </c>
      <c r="AG305" s="32">
        <f>2981043.15*1.03</f>
        <v>3070474.4445000002</v>
      </c>
      <c r="AH305" s="51">
        <f t="shared" si="148"/>
        <v>1.4500000048428774E-2</v>
      </c>
      <c r="AI305" s="45">
        <f t="shared" si="159"/>
        <v>3070474.43</v>
      </c>
    </row>
    <row r="306" spans="2:39" x14ac:dyDescent="0.2">
      <c r="B306" s="69" t="s">
        <v>592</v>
      </c>
      <c r="C306" s="69" t="s">
        <v>27</v>
      </c>
      <c r="D306" s="70" t="s">
        <v>593</v>
      </c>
      <c r="E306" s="60"/>
      <c r="F306" s="73">
        <f t="shared" si="158"/>
        <v>1072788.7799999998</v>
      </c>
      <c r="G306" s="74">
        <v>85224.27</v>
      </c>
      <c r="H306" s="74">
        <v>97917.93</v>
      </c>
      <c r="I306" s="74">
        <v>88982.03</v>
      </c>
      <c r="J306" s="74">
        <v>84591.22</v>
      </c>
      <c r="K306" s="74">
        <v>93510.82</v>
      </c>
      <c r="L306" s="74">
        <v>99046.79</v>
      </c>
      <c r="M306" s="74">
        <v>96930.34</v>
      </c>
      <c r="N306" s="74">
        <v>82015.899999999994</v>
      </c>
      <c r="O306" s="74">
        <v>88631.06</v>
      </c>
      <c r="P306" s="74">
        <v>89838.88</v>
      </c>
      <c r="Q306" s="74">
        <v>77854.11</v>
      </c>
      <c r="R306" s="74">
        <v>88245.43</v>
      </c>
      <c r="S306" s="29"/>
      <c r="Z306" s="75">
        <v>1072788.78</v>
      </c>
      <c r="AA306" s="45">
        <f t="shared" si="135"/>
        <v>0</v>
      </c>
      <c r="AG306" s="32">
        <f>1041542.49*1.03</f>
        <v>1072788.7646999999</v>
      </c>
      <c r="AH306" s="51">
        <f t="shared" si="148"/>
        <v>-1.5299999853596091E-2</v>
      </c>
      <c r="AI306" s="45">
        <f t="shared" si="159"/>
        <v>1072788.7799999998</v>
      </c>
    </row>
    <row r="307" spans="2:39" x14ac:dyDescent="0.2">
      <c r="B307" s="69" t="s">
        <v>594</v>
      </c>
      <c r="C307" s="69" t="s">
        <v>27</v>
      </c>
      <c r="D307" s="70" t="s">
        <v>595</v>
      </c>
      <c r="E307" s="60"/>
      <c r="F307" s="73">
        <f t="shared" si="158"/>
        <v>2833307.91</v>
      </c>
      <c r="G307" s="74">
        <v>132522.14000000001</v>
      </c>
      <c r="H307" s="74">
        <v>419277.15</v>
      </c>
      <c r="I307" s="74">
        <v>125425.68</v>
      </c>
      <c r="J307" s="74">
        <v>116390.27</v>
      </c>
      <c r="K307" s="74">
        <v>512846.93</v>
      </c>
      <c r="L307" s="74">
        <v>80309.820000000007</v>
      </c>
      <c r="M307" s="74">
        <v>53355.05</v>
      </c>
      <c r="N307" s="74">
        <v>360941.38</v>
      </c>
      <c r="O307" s="74">
        <v>114758.09</v>
      </c>
      <c r="P307" s="74">
        <v>383147.37</v>
      </c>
      <c r="Q307" s="74">
        <v>417601.53</v>
      </c>
      <c r="R307" s="74">
        <v>116732.5</v>
      </c>
      <c r="S307" s="29"/>
      <c r="Z307" s="75">
        <v>2833307.91</v>
      </c>
      <c r="AA307" s="45">
        <f t="shared" si="135"/>
        <v>0</v>
      </c>
      <c r="AG307" s="32">
        <f>2750784.36*1.03</f>
        <v>2833307.8908000002</v>
      </c>
      <c r="AH307" s="51">
        <f t="shared" si="148"/>
        <v>-1.919999998062849E-2</v>
      </c>
      <c r="AI307" s="45">
        <f t="shared" si="159"/>
        <v>2833307.91</v>
      </c>
    </row>
    <row r="308" spans="2:39" x14ac:dyDescent="0.2">
      <c r="B308" s="69" t="s">
        <v>596</v>
      </c>
      <c r="C308" s="69" t="s">
        <v>27</v>
      </c>
      <c r="D308" s="70" t="s">
        <v>597</v>
      </c>
      <c r="E308" s="60"/>
      <c r="F308" s="73">
        <f t="shared" si="158"/>
        <v>60892570.260000005</v>
      </c>
      <c r="G308" s="74">
        <v>4823306.95</v>
      </c>
      <c r="H308" s="74">
        <v>5431230.0800000001</v>
      </c>
      <c r="I308" s="74">
        <v>7571839.96</v>
      </c>
      <c r="J308" s="74">
        <v>4787779.1900000004</v>
      </c>
      <c r="K308" s="74">
        <v>5265897.03</v>
      </c>
      <c r="L308" s="74">
        <v>5317424.7300000004</v>
      </c>
      <c r="M308" s="74">
        <v>5572159.9000000004</v>
      </c>
      <c r="N308" s="74">
        <v>5263540.1399999997</v>
      </c>
      <c r="O308" s="74">
        <v>5129052.34</v>
      </c>
      <c r="P308" s="74">
        <v>4105175.74</v>
      </c>
      <c r="Q308" s="74">
        <v>3433243.62</v>
      </c>
      <c r="R308" s="74">
        <v>4191920.58</v>
      </c>
      <c r="S308" s="29"/>
      <c r="Z308" s="72">
        <v>60892570.259999998</v>
      </c>
      <c r="AA308" s="45">
        <f t="shared" si="135"/>
        <v>0</v>
      </c>
      <c r="AG308" s="32">
        <f>59119000.25*1.03</f>
        <v>60892570.2575</v>
      </c>
      <c r="AH308" s="51">
        <f t="shared" si="148"/>
        <v>-2.5000050663948059E-3</v>
      </c>
      <c r="AI308" s="45">
        <f t="shared" si="159"/>
        <v>60892570.260000005</v>
      </c>
    </row>
    <row r="309" spans="2:39" x14ac:dyDescent="0.2">
      <c r="B309" s="69" t="s">
        <v>598</v>
      </c>
      <c r="C309" s="69" t="s">
        <v>27</v>
      </c>
      <c r="D309" s="70" t="s">
        <v>599</v>
      </c>
      <c r="E309" s="60"/>
      <c r="F309" s="73">
        <f t="shared" si="158"/>
        <v>8510544.0600000005</v>
      </c>
      <c r="G309" s="74">
        <v>679822.15</v>
      </c>
      <c r="H309" s="74">
        <v>774795.05</v>
      </c>
      <c r="I309" s="74">
        <v>704088.02</v>
      </c>
      <c r="J309" s="74">
        <v>669344.9</v>
      </c>
      <c r="K309" s="74">
        <v>739923.01</v>
      </c>
      <c r="L309" s="74">
        <v>783727.4</v>
      </c>
      <c r="M309" s="74">
        <v>766980.62</v>
      </c>
      <c r="N309" s="74">
        <v>648967.09</v>
      </c>
      <c r="O309" s="74">
        <v>701310.86</v>
      </c>
      <c r="P309" s="74">
        <v>716632.16</v>
      </c>
      <c r="Q309" s="74">
        <v>621031.34</v>
      </c>
      <c r="R309" s="74">
        <v>703921.46</v>
      </c>
      <c r="S309" s="29"/>
      <c r="Z309" s="75">
        <v>8510544.0600000005</v>
      </c>
      <c r="AA309" s="45">
        <f t="shared" si="135"/>
        <v>0</v>
      </c>
      <c r="AG309" s="32">
        <f>8262664.13*1.03</f>
        <v>8510544.0538999997</v>
      </c>
      <c r="AH309" s="51">
        <f t="shared" si="148"/>
        <v>-6.1000008136034012E-3</v>
      </c>
      <c r="AI309" s="45">
        <f t="shared" si="159"/>
        <v>8510544.0600000005</v>
      </c>
    </row>
    <row r="310" spans="2:39" x14ac:dyDescent="0.2">
      <c r="B310" s="69" t="s">
        <v>600</v>
      </c>
      <c r="C310" s="69" t="s">
        <v>27</v>
      </c>
      <c r="D310" s="70" t="s">
        <v>601</v>
      </c>
      <c r="E310" s="60"/>
      <c r="F310" s="73">
        <f t="shared" si="158"/>
        <v>945976.26</v>
      </c>
      <c r="G310" s="74">
        <v>0</v>
      </c>
      <c r="H310" s="74">
        <v>467748.75</v>
      </c>
      <c r="I310" s="74">
        <v>3786.28</v>
      </c>
      <c r="J310" s="74">
        <v>2512.17</v>
      </c>
      <c r="K310" s="74">
        <v>0</v>
      </c>
      <c r="L310" s="74">
        <v>1829</v>
      </c>
      <c r="M310" s="74">
        <v>0</v>
      </c>
      <c r="N310" s="74"/>
      <c r="O310" s="74">
        <v>470100.06</v>
      </c>
      <c r="P310" s="74">
        <v>0</v>
      </c>
      <c r="Q310" s="74">
        <v>0</v>
      </c>
      <c r="R310" s="74">
        <v>0</v>
      </c>
      <c r="S310" s="29"/>
      <c r="Z310" s="72">
        <v>945976.26</v>
      </c>
      <c r="AA310" s="45">
        <f t="shared" si="135"/>
        <v>0</v>
      </c>
      <c r="AG310" s="32">
        <f>918480*1.03</f>
        <v>946034.4</v>
      </c>
      <c r="AH310" s="51">
        <f t="shared" si="148"/>
        <v>58.14000000001397</v>
      </c>
      <c r="AI310" s="45">
        <f t="shared" si="159"/>
        <v>945976.26</v>
      </c>
    </row>
    <row r="311" spans="2:39" x14ac:dyDescent="0.2">
      <c r="B311" s="69" t="s">
        <v>602</v>
      </c>
      <c r="C311" s="69" t="s">
        <v>27</v>
      </c>
      <c r="D311" s="70" t="s">
        <v>603</v>
      </c>
      <c r="E311" s="60"/>
      <c r="F311" s="73">
        <f t="shared" si="158"/>
        <v>413151.59</v>
      </c>
      <c r="G311" s="74">
        <v>0</v>
      </c>
      <c r="H311" s="74">
        <v>0</v>
      </c>
      <c r="I311" s="74">
        <v>0</v>
      </c>
      <c r="J311" s="74">
        <v>0</v>
      </c>
      <c r="K311" s="74">
        <v>0</v>
      </c>
      <c r="L311" s="74">
        <v>0</v>
      </c>
      <c r="M311" s="74">
        <v>0</v>
      </c>
      <c r="N311" s="74">
        <v>0</v>
      </c>
      <c r="O311" s="74">
        <v>0</v>
      </c>
      <c r="P311" s="74">
        <v>413151.59</v>
      </c>
      <c r="Q311" s="74">
        <v>0</v>
      </c>
      <c r="R311" s="74">
        <v>0</v>
      </c>
      <c r="S311" s="29"/>
      <c r="Z311" s="72">
        <v>413151.59</v>
      </c>
      <c r="AA311" s="45">
        <f t="shared" si="135"/>
        <v>0</v>
      </c>
      <c r="AG311" s="32">
        <f>401118.05*1.03</f>
        <v>413151.59149999998</v>
      </c>
      <c r="AH311" s="51">
        <f t="shared" si="148"/>
        <v>1.4999999548308551E-3</v>
      </c>
      <c r="AI311" s="45">
        <f t="shared" si="159"/>
        <v>413151.59</v>
      </c>
    </row>
    <row r="312" spans="2:39" x14ac:dyDescent="0.2">
      <c r="B312" s="69" t="s">
        <v>604</v>
      </c>
      <c r="C312" s="69" t="s">
        <v>27</v>
      </c>
      <c r="D312" s="70" t="s">
        <v>605</v>
      </c>
      <c r="E312" s="60"/>
      <c r="F312" s="73">
        <f t="shared" si="158"/>
        <v>134814.54999999999</v>
      </c>
      <c r="G312" s="74">
        <v>0</v>
      </c>
      <c r="H312" s="74">
        <v>0</v>
      </c>
      <c r="I312" s="74">
        <v>0</v>
      </c>
      <c r="J312" s="74">
        <v>0</v>
      </c>
      <c r="K312" s="74">
        <v>0</v>
      </c>
      <c r="L312" s="74">
        <v>0</v>
      </c>
      <c r="M312" s="74">
        <v>0</v>
      </c>
      <c r="N312" s="74">
        <v>2564.08</v>
      </c>
      <c r="O312" s="74">
        <v>0</v>
      </c>
      <c r="P312" s="74">
        <v>121092.67</v>
      </c>
      <c r="Q312" s="74">
        <v>11157.8</v>
      </c>
      <c r="R312" s="74">
        <v>0</v>
      </c>
      <c r="S312" s="29"/>
      <c r="Z312" s="75">
        <v>134814.54999999999</v>
      </c>
      <c r="AA312" s="45">
        <f t="shared" si="135"/>
        <v>0</v>
      </c>
      <c r="AG312" s="32">
        <f>130887.92*1.03</f>
        <v>134814.5576</v>
      </c>
      <c r="AH312" s="51">
        <f t="shared" si="148"/>
        <v>7.6000000117346644E-3</v>
      </c>
      <c r="AI312" s="45">
        <f t="shared" si="159"/>
        <v>134814.54999999999</v>
      </c>
    </row>
    <row r="313" spans="2:39" x14ac:dyDescent="0.2">
      <c r="B313" s="69" t="s">
        <v>606</v>
      </c>
      <c r="C313" s="69" t="s">
        <v>27</v>
      </c>
      <c r="D313" s="70" t="s">
        <v>607</v>
      </c>
      <c r="E313" s="60"/>
      <c r="F313" s="73">
        <f t="shared" si="158"/>
        <v>0</v>
      </c>
      <c r="G313" s="74">
        <v>0</v>
      </c>
      <c r="H313" s="74">
        <v>0</v>
      </c>
      <c r="I313" s="74">
        <v>0</v>
      </c>
      <c r="J313" s="74">
        <v>0</v>
      </c>
      <c r="K313" s="74">
        <v>0</v>
      </c>
      <c r="L313" s="74">
        <v>0</v>
      </c>
      <c r="M313" s="74">
        <v>0</v>
      </c>
      <c r="N313" s="74">
        <v>0</v>
      </c>
      <c r="O313" s="74">
        <v>0</v>
      </c>
      <c r="P313" s="74">
        <v>0</v>
      </c>
      <c r="Q313" s="74">
        <v>0</v>
      </c>
      <c r="R313" s="74">
        <v>0</v>
      </c>
      <c r="S313" s="29"/>
      <c r="Z313" s="72">
        <v>0</v>
      </c>
      <c r="AA313" s="45">
        <f t="shared" si="135"/>
        <v>0</v>
      </c>
      <c r="AH313" s="51">
        <f t="shared" si="148"/>
        <v>0</v>
      </c>
      <c r="AI313" s="45">
        <f t="shared" si="159"/>
        <v>0</v>
      </c>
    </row>
    <row r="314" spans="2:39" x14ac:dyDescent="0.2">
      <c r="B314" s="69" t="s">
        <v>608</v>
      </c>
      <c r="C314" s="69" t="s">
        <v>27</v>
      </c>
      <c r="D314" s="70" t="s">
        <v>609</v>
      </c>
      <c r="E314" s="60"/>
      <c r="F314" s="71">
        <f t="shared" si="158"/>
        <v>0</v>
      </c>
      <c r="G314" s="72">
        <v>0</v>
      </c>
      <c r="H314" s="72">
        <v>0</v>
      </c>
      <c r="I314" s="72">
        <v>0</v>
      </c>
      <c r="J314" s="72">
        <v>0</v>
      </c>
      <c r="K314" s="72">
        <v>0</v>
      </c>
      <c r="L314" s="72">
        <v>0</v>
      </c>
      <c r="M314" s="72">
        <v>0</v>
      </c>
      <c r="N314" s="72">
        <v>0</v>
      </c>
      <c r="O314" s="72">
        <v>0</v>
      </c>
      <c r="P314" s="72">
        <v>0</v>
      </c>
      <c r="Q314" s="72">
        <v>0</v>
      </c>
      <c r="R314" s="72">
        <v>0</v>
      </c>
      <c r="Z314" s="72">
        <v>0</v>
      </c>
      <c r="AA314" s="45">
        <f t="shared" si="135"/>
        <v>0</v>
      </c>
      <c r="AH314" s="51">
        <f t="shared" si="148"/>
        <v>0</v>
      </c>
      <c r="AI314" s="45">
        <f t="shared" si="159"/>
        <v>0</v>
      </c>
    </row>
    <row r="315" spans="2:39" x14ac:dyDescent="0.2">
      <c r="B315" s="69" t="s">
        <v>610</v>
      </c>
      <c r="C315" s="69" t="s">
        <v>27</v>
      </c>
      <c r="D315" s="70" t="s">
        <v>611</v>
      </c>
      <c r="E315" s="60"/>
      <c r="F315" s="71">
        <f t="shared" si="158"/>
        <v>0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  <c r="Q315" s="72">
        <v>0</v>
      </c>
      <c r="R315" s="72">
        <v>0</v>
      </c>
      <c r="Z315" s="72">
        <v>0</v>
      </c>
      <c r="AA315" s="45">
        <f t="shared" si="135"/>
        <v>0</v>
      </c>
      <c r="AH315" s="51">
        <f t="shared" si="148"/>
        <v>0</v>
      </c>
      <c r="AI315" s="45">
        <f t="shared" si="159"/>
        <v>0</v>
      </c>
    </row>
    <row r="316" spans="2:39" x14ac:dyDescent="0.2">
      <c r="B316" s="69" t="s">
        <v>612</v>
      </c>
      <c r="C316" s="69" t="s">
        <v>27</v>
      </c>
      <c r="D316" s="70" t="s">
        <v>613</v>
      </c>
      <c r="E316" s="60"/>
      <c r="F316" s="71">
        <f t="shared" si="158"/>
        <v>496395.92</v>
      </c>
      <c r="G316" s="72">
        <v>0</v>
      </c>
      <c r="H316" s="72">
        <v>0</v>
      </c>
      <c r="I316" s="72">
        <v>0</v>
      </c>
      <c r="J316" s="72">
        <v>0</v>
      </c>
      <c r="K316" s="72">
        <v>0</v>
      </c>
      <c r="L316" s="72">
        <v>0</v>
      </c>
      <c r="M316" s="72">
        <v>496395.92</v>
      </c>
      <c r="N316" s="72">
        <v>0</v>
      </c>
      <c r="O316" s="72">
        <v>0</v>
      </c>
      <c r="P316" s="72">
        <v>0</v>
      </c>
      <c r="Q316" s="72">
        <v>0</v>
      </c>
      <c r="R316" s="72">
        <v>0</v>
      </c>
      <c r="Z316" s="72">
        <v>496395.92</v>
      </c>
      <c r="AA316" s="45">
        <f t="shared" si="135"/>
        <v>0</v>
      </c>
      <c r="AG316" s="32">
        <f>481937.79*1.03</f>
        <v>496395.92369999998</v>
      </c>
      <c r="AH316" s="51">
        <f t="shared" si="148"/>
        <v>3.7000000011175871E-3</v>
      </c>
      <c r="AI316" s="45">
        <f t="shared" si="159"/>
        <v>496395.92</v>
      </c>
    </row>
    <row r="317" spans="2:39" s="62" customFormat="1" x14ac:dyDescent="0.2">
      <c r="B317" s="63" t="s">
        <v>614</v>
      </c>
      <c r="C317" s="63"/>
      <c r="D317" s="64" t="s">
        <v>615</v>
      </c>
      <c r="E317" s="65"/>
      <c r="F317" s="66">
        <f>+F318+F320</f>
        <v>29994678.615999997</v>
      </c>
      <c r="G317" s="67">
        <f t="shared" ref="G317:R317" si="160">+G318+G320</f>
        <v>2848298.6756000002</v>
      </c>
      <c r="H317" s="67">
        <f t="shared" si="160"/>
        <v>2848298.6756000002</v>
      </c>
      <c r="I317" s="67">
        <f t="shared" si="160"/>
        <v>2848298.6756000002</v>
      </c>
      <c r="J317" s="67">
        <f t="shared" si="160"/>
        <v>2848298.6756000002</v>
      </c>
      <c r="K317" s="67">
        <f t="shared" si="160"/>
        <v>2848298.6756000002</v>
      </c>
      <c r="L317" s="67">
        <f t="shared" si="160"/>
        <v>2848298.6756000002</v>
      </c>
      <c r="M317" s="67">
        <f t="shared" si="160"/>
        <v>2848298.6756000002</v>
      </c>
      <c r="N317" s="67">
        <f t="shared" si="160"/>
        <v>2848298.6756000002</v>
      </c>
      <c r="O317" s="67">
        <f t="shared" si="160"/>
        <v>2848298.6756000002</v>
      </c>
      <c r="P317" s="67">
        <f t="shared" si="160"/>
        <v>2848298.6756000002</v>
      </c>
      <c r="Q317" s="67">
        <f t="shared" si="160"/>
        <v>755845.93</v>
      </c>
      <c r="R317" s="67">
        <f t="shared" si="160"/>
        <v>755845.93</v>
      </c>
      <c r="T317" s="29"/>
      <c r="U317" s="29"/>
      <c r="V317" s="29"/>
      <c r="W317" s="29"/>
      <c r="X317" s="29"/>
      <c r="Y317" s="29"/>
      <c r="Z317" s="67">
        <f t="shared" ref="Z317" si="161">+Z318+Z320</f>
        <v>29994678.620000001</v>
      </c>
      <c r="AA317" s="45">
        <f t="shared" si="135"/>
        <v>4.000004380941391E-3</v>
      </c>
      <c r="AG317" s="32"/>
      <c r="AH317" s="51">
        <f t="shared" si="148"/>
        <v>-29994678.615999997</v>
      </c>
      <c r="AI317" s="84"/>
    </row>
    <row r="318" spans="2:39" x14ac:dyDescent="0.2">
      <c r="B318" s="57" t="s">
        <v>616</v>
      </c>
      <c r="C318" s="57"/>
      <c r="D318" s="59" t="s">
        <v>617</v>
      </c>
      <c r="E318" s="60"/>
      <c r="F318" s="61">
        <f>+F319</f>
        <v>20924527.456</v>
      </c>
      <c r="G318" s="48">
        <f t="shared" ref="G318:Z318" si="162">+G319</f>
        <v>2092452.7456</v>
      </c>
      <c r="H318" s="48">
        <f t="shared" si="162"/>
        <v>2092452.7456</v>
      </c>
      <c r="I318" s="48">
        <f t="shared" si="162"/>
        <v>2092452.7456</v>
      </c>
      <c r="J318" s="48">
        <f t="shared" si="162"/>
        <v>2092452.7456</v>
      </c>
      <c r="K318" s="48">
        <f t="shared" si="162"/>
        <v>2092452.7456</v>
      </c>
      <c r="L318" s="48">
        <f t="shared" si="162"/>
        <v>2092452.7456</v>
      </c>
      <c r="M318" s="48">
        <f t="shared" si="162"/>
        <v>2092452.7456</v>
      </c>
      <c r="N318" s="48">
        <f t="shared" si="162"/>
        <v>2092452.7456</v>
      </c>
      <c r="O318" s="48">
        <f t="shared" si="162"/>
        <v>2092452.7456</v>
      </c>
      <c r="P318" s="48">
        <f t="shared" si="162"/>
        <v>2092452.7456</v>
      </c>
      <c r="Q318" s="48">
        <f t="shared" si="162"/>
        <v>0</v>
      </c>
      <c r="R318" s="48">
        <f t="shared" si="162"/>
        <v>0</v>
      </c>
      <c r="Z318" s="48">
        <f t="shared" si="162"/>
        <v>20924527.460000001</v>
      </c>
      <c r="AA318" s="45">
        <f t="shared" si="135"/>
        <v>4.0000006556510925E-3</v>
      </c>
      <c r="AH318" s="51">
        <f t="shared" si="148"/>
        <v>-20924527.456</v>
      </c>
      <c r="AI318" s="45"/>
    </row>
    <row r="319" spans="2:39" x14ac:dyDescent="0.2">
      <c r="B319" s="69" t="s">
        <v>618</v>
      </c>
      <c r="C319" s="69" t="s">
        <v>27</v>
      </c>
      <c r="D319" s="70" t="s">
        <v>619</v>
      </c>
      <c r="E319" s="60"/>
      <c r="F319" s="71">
        <f>SUM(G319:R319)</f>
        <v>20924527.456</v>
      </c>
      <c r="G319" s="72">
        <f>2031507.52*1.03</f>
        <v>2092452.7456</v>
      </c>
      <c r="H319" s="72">
        <f t="shared" ref="H319:P319" si="163">2031507.52*1.03</f>
        <v>2092452.7456</v>
      </c>
      <c r="I319" s="72">
        <f t="shared" si="163"/>
        <v>2092452.7456</v>
      </c>
      <c r="J319" s="72">
        <f t="shared" si="163"/>
        <v>2092452.7456</v>
      </c>
      <c r="K319" s="72">
        <f t="shared" si="163"/>
        <v>2092452.7456</v>
      </c>
      <c r="L319" s="72">
        <f t="shared" si="163"/>
        <v>2092452.7456</v>
      </c>
      <c r="M319" s="72">
        <f t="shared" si="163"/>
        <v>2092452.7456</v>
      </c>
      <c r="N319" s="72">
        <f t="shared" si="163"/>
        <v>2092452.7456</v>
      </c>
      <c r="O319" s="72">
        <f t="shared" si="163"/>
        <v>2092452.7456</v>
      </c>
      <c r="P319" s="72">
        <f t="shared" si="163"/>
        <v>2092452.7456</v>
      </c>
      <c r="Q319" s="72">
        <v>0</v>
      </c>
      <c r="R319" s="72">
        <v>0</v>
      </c>
      <c r="Z319" s="72">
        <v>20924527.460000001</v>
      </c>
      <c r="AA319" s="45">
        <f t="shared" si="135"/>
        <v>4.0000006556510925E-3</v>
      </c>
      <c r="AG319" s="32">
        <f>20315075.2*1.03</f>
        <v>20924527.456</v>
      </c>
      <c r="AH319" s="51">
        <f t="shared" si="148"/>
        <v>0</v>
      </c>
      <c r="AI319" s="45">
        <f>+F319</f>
        <v>20924527.456</v>
      </c>
      <c r="AJ319" s="32">
        <v>1696811.73</v>
      </c>
      <c r="AK319" s="96">
        <v>100</v>
      </c>
      <c r="AL319" s="32">
        <v>651202.42000000004</v>
      </c>
      <c r="AM319" s="96">
        <v>100</v>
      </c>
    </row>
    <row r="320" spans="2:39" x14ac:dyDescent="0.2">
      <c r="B320" s="57" t="s">
        <v>620</v>
      </c>
      <c r="C320" s="57"/>
      <c r="D320" s="59" t="s">
        <v>621</v>
      </c>
      <c r="E320" s="60"/>
      <c r="F320" s="61">
        <f>+F321</f>
        <v>9070151.1599999983</v>
      </c>
      <c r="G320" s="48">
        <f t="shared" ref="G320:Z320" si="164">+G321</f>
        <v>755845.93</v>
      </c>
      <c r="H320" s="48">
        <f t="shared" si="164"/>
        <v>755845.93</v>
      </c>
      <c r="I320" s="48">
        <f t="shared" si="164"/>
        <v>755845.93</v>
      </c>
      <c r="J320" s="48">
        <f t="shared" si="164"/>
        <v>755845.93</v>
      </c>
      <c r="K320" s="48">
        <f t="shared" si="164"/>
        <v>755845.93</v>
      </c>
      <c r="L320" s="48">
        <f t="shared" si="164"/>
        <v>755845.93</v>
      </c>
      <c r="M320" s="48">
        <f t="shared" si="164"/>
        <v>755845.93</v>
      </c>
      <c r="N320" s="48">
        <f t="shared" si="164"/>
        <v>755845.93</v>
      </c>
      <c r="O320" s="48">
        <f t="shared" si="164"/>
        <v>755845.93</v>
      </c>
      <c r="P320" s="48">
        <f t="shared" si="164"/>
        <v>755845.93</v>
      </c>
      <c r="Q320" s="48">
        <f t="shared" si="164"/>
        <v>755845.93</v>
      </c>
      <c r="R320" s="48">
        <f t="shared" si="164"/>
        <v>755845.93</v>
      </c>
      <c r="S320" s="82">
        <f t="shared" si="164"/>
        <v>0</v>
      </c>
      <c r="T320" s="81"/>
      <c r="U320" s="81"/>
      <c r="V320" s="81"/>
      <c r="W320" s="81"/>
      <c r="X320" s="81"/>
      <c r="Y320" s="81"/>
      <c r="Z320" s="48">
        <f t="shared" si="164"/>
        <v>9070151.1600000001</v>
      </c>
      <c r="AA320" s="45">
        <f t="shared" si="135"/>
        <v>0</v>
      </c>
      <c r="AB320" s="82"/>
      <c r="AC320" s="82"/>
      <c r="AD320" s="82"/>
      <c r="AE320" s="82"/>
      <c r="AF320" s="82"/>
      <c r="AH320" s="51">
        <f t="shared" si="148"/>
        <v>-9070151.1599999983</v>
      </c>
      <c r="AI320" s="45"/>
      <c r="AJ320" s="32">
        <v>2031507.52</v>
      </c>
      <c r="AK320" s="96">
        <f>+AJ320*AK319/AJ319</f>
        <v>119.7249809205409</v>
      </c>
      <c r="AL320" s="32">
        <v>733831</v>
      </c>
      <c r="AM320" s="96">
        <f>+AL320*AM319/AL319</f>
        <v>112.6886168512703</v>
      </c>
    </row>
    <row r="321" spans="2:38" x14ac:dyDescent="0.2">
      <c r="B321" s="69" t="s">
        <v>622</v>
      </c>
      <c r="C321" s="69" t="s">
        <v>27</v>
      </c>
      <c r="D321" s="70" t="s">
        <v>623</v>
      </c>
      <c r="E321" s="60"/>
      <c r="F321" s="71">
        <f>SUM(G321:R321)</f>
        <v>9070151.1599999983</v>
      </c>
      <c r="G321" s="72">
        <f>733831*1.03</f>
        <v>755845.93</v>
      </c>
      <c r="H321" s="72">
        <f t="shared" ref="H321:R321" si="165">733831*1.03</f>
        <v>755845.93</v>
      </c>
      <c r="I321" s="72">
        <f t="shared" si="165"/>
        <v>755845.93</v>
      </c>
      <c r="J321" s="72">
        <f t="shared" si="165"/>
        <v>755845.93</v>
      </c>
      <c r="K321" s="72">
        <f t="shared" si="165"/>
        <v>755845.93</v>
      </c>
      <c r="L321" s="72">
        <f t="shared" si="165"/>
        <v>755845.93</v>
      </c>
      <c r="M321" s="72">
        <f t="shared" si="165"/>
        <v>755845.93</v>
      </c>
      <c r="N321" s="72">
        <f t="shared" si="165"/>
        <v>755845.93</v>
      </c>
      <c r="O321" s="72">
        <f t="shared" si="165"/>
        <v>755845.93</v>
      </c>
      <c r="P321" s="72">
        <f t="shared" si="165"/>
        <v>755845.93</v>
      </c>
      <c r="Q321" s="72">
        <f t="shared" si="165"/>
        <v>755845.93</v>
      </c>
      <c r="R321" s="72">
        <f t="shared" si="165"/>
        <v>755845.93</v>
      </c>
      <c r="Z321" s="72">
        <v>9070151.1600000001</v>
      </c>
      <c r="AA321" s="45">
        <f t="shared" si="135"/>
        <v>0</v>
      </c>
      <c r="AG321" s="32">
        <f>8805972*1.03</f>
        <v>9070151.1600000001</v>
      </c>
      <c r="AH321" s="51">
        <f t="shared" si="148"/>
        <v>0</v>
      </c>
      <c r="AI321" s="45">
        <f>+F321</f>
        <v>9070151.1599999983</v>
      </c>
      <c r="AJ321" s="96"/>
      <c r="AL321" s="96"/>
    </row>
    <row r="322" spans="2:38" x14ac:dyDescent="0.2">
      <c r="B322" s="57" t="s">
        <v>624</v>
      </c>
      <c r="C322" s="57"/>
      <c r="D322" s="59" t="s">
        <v>625</v>
      </c>
      <c r="E322" s="60"/>
      <c r="F322" s="61">
        <f>+F323</f>
        <v>0</v>
      </c>
      <c r="G322" s="48">
        <f t="shared" ref="G322:Z324" si="166">+G323</f>
        <v>0</v>
      </c>
      <c r="H322" s="48">
        <f t="shared" si="166"/>
        <v>0</v>
      </c>
      <c r="I322" s="48">
        <f t="shared" si="166"/>
        <v>0</v>
      </c>
      <c r="J322" s="48">
        <f t="shared" si="166"/>
        <v>0</v>
      </c>
      <c r="K322" s="48">
        <f t="shared" si="166"/>
        <v>0</v>
      </c>
      <c r="L322" s="48">
        <f t="shared" si="166"/>
        <v>0</v>
      </c>
      <c r="M322" s="48">
        <f t="shared" si="166"/>
        <v>0</v>
      </c>
      <c r="N322" s="48">
        <f t="shared" si="166"/>
        <v>0</v>
      </c>
      <c r="O322" s="48">
        <f t="shared" si="166"/>
        <v>0</v>
      </c>
      <c r="P322" s="48">
        <f t="shared" si="166"/>
        <v>0</v>
      </c>
      <c r="Q322" s="48">
        <f t="shared" si="166"/>
        <v>0</v>
      </c>
      <c r="R322" s="48">
        <f t="shared" si="166"/>
        <v>0</v>
      </c>
      <c r="Z322" s="48">
        <f t="shared" si="166"/>
        <v>0</v>
      </c>
      <c r="AA322" s="45">
        <f t="shared" si="135"/>
        <v>0</v>
      </c>
      <c r="AH322" s="51">
        <f t="shared" si="148"/>
        <v>0</v>
      </c>
      <c r="AI322" s="45"/>
      <c r="AJ322" s="96"/>
      <c r="AL322" s="97"/>
    </row>
    <row r="323" spans="2:38" x14ac:dyDescent="0.2">
      <c r="B323" s="57" t="s">
        <v>626</v>
      </c>
      <c r="C323" s="57"/>
      <c r="D323" s="59" t="s">
        <v>627</v>
      </c>
      <c r="E323" s="60"/>
      <c r="F323" s="61">
        <f>+F324</f>
        <v>0</v>
      </c>
      <c r="G323" s="48">
        <f t="shared" si="166"/>
        <v>0</v>
      </c>
      <c r="H323" s="48">
        <f t="shared" si="166"/>
        <v>0</v>
      </c>
      <c r="I323" s="48">
        <f t="shared" si="166"/>
        <v>0</v>
      </c>
      <c r="J323" s="48">
        <f t="shared" si="166"/>
        <v>0</v>
      </c>
      <c r="K323" s="48">
        <f t="shared" si="166"/>
        <v>0</v>
      </c>
      <c r="L323" s="48">
        <f t="shared" si="166"/>
        <v>0</v>
      </c>
      <c r="M323" s="48">
        <f t="shared" si="166"/>
        <v>0</v>
      </c>
      <c r="N323" s="48">
        <f t="shared" si="166"/>
        <v>0</v>
      </c>
      <c r="O323" s="48">
        <f t="shared" si="166"/>
        <v>0</v>
      </c>
      <c r="P323" s="48">
        <f t="shared" si="166"/>
        <v>0</v>
      </c>
      <c r="Q323" s="48">
        <f t="shared" si="166"/>
        <v>0</v>
      </c>
      <c r="R323" s="48">
        <f t="shared" si="166"/>
        <v>0</v>
      </c>
      <c r="Z323" s="48">
        <f t="shared" si="166"/>
        <v>0</v>
      </c>
      <c r="AA323" s="45">
        <f t="shared" si="135"/>
        <v>0</v>
      </c>
      <c r="AH323" s="51">
        <f t="shared" si="148"/>
        <v>0</v>
      </c>
      <c r="AI323" s="45"/>
    </row>
    <row r="324" spans="2:38" x14ac:dyDescent="0.2">
      <c r="B324" s="57" t="s">
        <v>628</v>
      </c>
      <c r="C324" s="57"/>
      <c r="D324" s="59" t="s">
        <v>629</v>
      </c>
      <c r="E324" s="60"/>
      <c r="F324" s="61">
        <f>+F325</f>
        <v>0</v>
      </c>
      <c r="G324" s="48">
        <f t="shared" si="166"/>
        <v>0</v>
      </c>
      <c r="H324" s="48">
        <f t="shared" si="166"/>
        <v>0</v>
      </c>
      <c r="I324" s="48">
        <f t="shared" si="166"/>
        <v>0</v>
      </c>
      <c r="J324" s="48">
        <f t="shared" si="166"/>
        <v>0</v>
      </c>
      <c r="K324" s="48">
        <f t="shared" si="166"/>
        <v>0</v>
      </c>
      <c r="L324" s="48">
        <f t="shared" si="166"/>
        <v>0</v>
      </c>
      <c r="M324" s="48">
        <f t="shared" si="166"/>
        <v>0</v>
      </c>
      <c r="N324" s="48">
        <f t="shared" si="166"/>
        <v>0</v>
      </c>
      <c r="O324" s="48">
        <f t="shared" si="166"/>
        <v>0</v>
      </c>
      <c r="P324" s="48">
        <f t="shared" si="166"/>
        <v>0</v>
      </c>
      <c r="Q324" s="48">
        <f t="shared" si="166"/>
        <v>0</v>
      </c>
      <c r="R324" s="48">
        <f t="shared" si="166"/>
        <v>0</v>
      </c>
      <c r="Z324" s="48">
        <f t="shared" si="166"/>
        <v>0</v>
      </c>
      <c r="AA324" s="45">
        <f t="shared" si="135"/>
        <v>0</v>
      </c>
      <c r="AH324" s="51">
        <f t="shared" si="148"/>
        <v>0</v>
      </c>
      <c r="AI324" s="45"/>
    </row>
    <row r="325" spans="2:38" x14ac:dyDescent="0.2">
      <c r="B325" s="69" t="s">
        <v>630</v>
      </c>
      <c r="C325" s="69" t="s">
        <v>233</v>
      </c>
      <c r="D325" s="70" t="s">
        <v>631</v>
      </c>
      <c r="E325" s="60"/>
      <c r="F325" s="71">
        <f>SUM(G325:R325)</f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  <c r="Q325" s="72">
        <v>0</v>
      </c>
      <c r="R325" s="72">
        <v>0</v>
      </c>
      <c r="Z325" s="72">
        <v>0</v>
      </c>
      <c r="AA325" s="45">
        <f t="shared" si="135"/>
        <v>0</v>
      </c>
      <c r="AH325" s="51">
        <f t="shared" si="148"/>
        <v>0</v>
      </c>
      <c r="AI325" s="45">
        <f>+F325</f>
        <v>0</v>
      </c>
    </row>
    <row r="326" spans="2:38" x14ac:dyDescent="0.2">
      <c r="B326" s="98"/>
      <c r="C326" s="98"/>
      <c r="E326" s="100"/>
      <c r="F326" s="100"/>
      <c r="AI326" s="32">
        <f>SUM(AI18:AI325)</f>
        <v>124688911.99840002</v>
      </c>
    </row>
    <row r="327" spans="2:38" x14ac:dyDescent="0.2">
      <c r="B327" s="98"/>
      <c r="C327" s="98"/>
      <c r="E327" s="100"/>
      <c r="F327" s="100"/>
    </row>
    <row r="328" spans="2:38" x14ac:dyDescent="0.2">
      <c r="B328" s="98"/>
      <c r="C328" s="98"/>
      <c r="E328" s="100"/>
      <c r="F328" s="100"/>
    </row>
    <row r="329" spans="2:38" x14ac:dyDescent="0.2">
      <c r="B329" s="98"/>
      <c r="C329" s="98"/>
      <c r="E329" s="100"/>
      <c r="F329" s="100"/>
    </row>
    <row r="330" spans="2:38" x14ac:dyDescent="0.2">
      <c r="B330" s="98"/>
      <c r="C330" s="98"/>
      <c r="E330" s="100"/>
      <c r="F330" s="100"/>
    </row>
    <row r="331" spans="2:38" x14ac:dyDescent="0.2">
      <c r="B331" s="98"/>
      <c r="C331" s="98"/>
      <c r="E331" s="100"/>
      <c r="F331" s="100"/>
    </row>
    <row r="332" spans="2:38" x14ac:dyDescent="0.2">
      <c r="B332" s="98"/>
      <c r="C332" s="98"/>
      <c r="E332" s="100"/>
      <c r="F332" s="100"/>
    </row>
    <row r="333" spans="2:38" x14ac:dyDescent="0.2">
      <c r="B333" s="98"/>
      <c r="C333" s="98"/>
      <c r="E333" s="100"/>
      <c r="F333" s="100"/>
    </row>
    <row r="334" spans="2:38" x14ac:dyDescent="0.2">
      <c r="B334" s="98"/>
      <c r="C334" s="98"/>
      <c r="E334" s="101"/>
      <c r="F334" s="101"/>
      <c r="G334" s="102"/>
      <c r="H334" s="102"/>
      <c r="I334" s="102"/>
      <c r="J334" s="102"/>
      <c r="K334" s="102"/>
    </row>
    <row r="335" spans="2:38" x14ac:dyDescent="0.2">
      <c r="B335" s="98"/>
      <c r="C335" s="98"/>
      <c r="E335" s="101"/>
      <c r="F335" s="101"/>
      <c r="G335" s="102"/>
      <c r="H335" s="102"/>
      <c r="I335" s="102"/>
      <c r="J335" s="102"/>
      <c r="K335" s="102"/>
    </row>
    <row r="336" spans="2:38" x14ac:dyDescent="0.2">
      <c r="B336" s="98"/>
      <c r="C336" s="98"/>
      <c r="E336" s="100"/>
      <c r="F336" s="100"/>
    </row>
    <row r="337" spans="2:11" x14ac:dyDescent="0.2">
      <c r="B337" s="98"/>
      <c r="C337" s="98"/>
      <c r="E337" s="100"/>
      <c r="F337" s="100"/>
    </row>
    <row r="338" spans="2:11" x14ac:dyDescent="0.2">
      <c r="B338" s="98"/>
      <c r="C338" s="98"/>
      <c r="E338" s="101"/>
      <c r="F338" s="101"/>
      <c r="G338" s="102"/>
      <c r="H338" s="102"/>
      <c r="I338" s="102"/>
      <c r="J338" s="102"/>
      <c r="K338" s="102"/>
    </row>
    <row r="339" spans="2:11" x14ac:dyDescent="0.2">
      <c r="B339" s="98"/>
      <c r="C339" s="98"/>
      <c r="E339" s="100"/>
      <c r="F339" s="100"/>
    </row>
    <row r="340" spans="2:11" x14ac:dyDescent="0.2">
      <c r="B340" s="98"/>
      <c r="C340" s="98"/>
      <c r="E340" s="100"/>
      <c r="F340" s="100"/>
    </row>
    <row r="341" spans="2:11" x14ac:dyDescent="0.2">
      <c r="B341" s="98"/>
      <c r="C341" s="98"/>
      <c r="E341" s="100"/>
      <c r="F341" s="100"/>
    </row>
    <row r="342" spans="2:11" x14ac:dyDescent="0.2">
      <c r="B342" s="98"/>
      <c r="C342" s="98"/>
      <c r="E342" s="100"/>
      <c r="F342" s="100"/>
    </row>
    <row r="343" spans="2:11" x14ac:dyDescent="0.2">
      <c r="B343" s="103"/>
      <c r="C343" s="103"/>
      <c r="E343" s="101"/>
      <c r="F343" s="101"/>
      <c r="G343" s="102"/>
      <c r="H343" s="102"/>
      <c r="I343" s="102"/>
      <c r="J343" s="102"/>
      <c r="K343" s="102"/>
    </row>
    <row r="344" spans="2:11" x14ac:dyDescent="0.2">
      <c r="B344" s="103"/>
      <c r="C344" s="103"/>
      <c r="E344" s="101"/>
      <c r="F344" s="101"/>
      <c r="G344" s="102"/>
      <c r="H344" s="102"/>
      <c r="I344" s="102"/>
      <c r="J344" s="102"/>
      <c r="K344" s="102"/>
    </row>
    <row r="345" spans="2:11" x14ac:dyDescent="0.2">
      <c r="B345" s="98"/>
      <c r="C345" s="98"/>
      <c r="E345" s="100"/>
      <c r="F345" s="100"/>
    </row>
    <row r="346" spans="2:11" x14ac:dyDescent="0.2">
      <c r="B346" s="98"/>
      <c r="C346" s="98"/>
      <c r="E346" s="100"/>
      <c r="F346" s="100"/>
    </row>
    <row r="347" spans="2:11" x14ac:dyDescent="0.2">
      <c r="B347" s="103"/>
      <c r="C347" s="103"/>
      <c r="E347" s="101"/>
      <c r="F347" s="101"/>
      <c r="G347" s="102"/>
      <c r="H347" s="102"/>
      <c r="I347" s="102"/>
      <c r="J347" s="102"/>
    </row>
    <row r="348" spans="2:11" x14ac:dyDescent="0.2">
      <c r="B348" s="98"/>
      <c r="C348" s="98"/>
      <c r="E348" s="100"/>
      <c r="F348" s="100"/>
    </row>
    <row r="349" spans="2:11" x14ac:dyDescent="0.2">
      <c r="B349" s="98"/>
      <c r="C349" s="98"/>
      <c r="E349" s="100"/>
      <c r="F349" s="100"/>
    </row>
    <row r="350" spans="2:11" x14ac:dyDescent="0.2">
      <c r="B350" s="98"/>
      <c r="C350" s="98"/>
      <c r="E350" s="100"/>
      <c r="F350" s="100"/>
    </row>
    <row r="351" spans="2:11" x14ac:dyDescent="0.2">
      <c r="B351" s="98"/>
      <c r="C351" s="98"/>
      <c r="E351" s="100"/>
      <c r="F351" s="100"/>
    </row>
    <row r="352" spans="2:11" x14ac:dyDescent="0.2">
      <c r="B352" s="103"/>
      <c r="C352" s="103"/>
      <c r="E352" s="101"/>
      <c r="F352" s="101"/>
      <c r="G352" s="102"/>
      <c r="H352" s="102"/>
      <c r="I352" s="102"/>
      <c r="J352" s="102"/>
    </row>
    <row r="353" spans="2:11" x14ac:dyDescent="0.2">
      <c r="B353" s="103"/>
      <c r="C353" s="103"/>
      <c r="E353" s="101"/>
      <c r="F353" s="101"/>
      <c r="G353" s="102"/>
      <c r="H353" s="102"/>
      <c r="I353" s="102"/>
      <c r="J353" s="102"/>
    </row>
    <row r="354" spans="2:11" x14ac:dyDescent="0.2">
      <c r="B354" s="98"/>
      <c r="C354" s="98"/>
      <c r="E354" s="100"/>
      <c r="F354" s="100"/>
    </row>
    <row r="355" spans="2:11" x14ac:dyDescent="0.2">
      <c r="B355" s="98"/>
      <c r="C355" s="98"/>
      <c r="E355" s="100"/>
      <c r="F355" s="100"/>
    </row>
    <row r="356" spans="2:11" x14ac:dyDescent="0.2">
      <c r="B356" s="98"/>
      <c r="C356" s="98"/>
      <c r="E356" s="100"/>
      <c r="F356" s="100"/>
    </row>
    <row r="357" spans="2:11" x14ac:dyDescent="0.2">
      <c r="B357" s="98"/>
      <c r="C357" s="98"/>
      <c r="E357" s="100"/>
      <c r="F357" s="100"/>
    </row>
    <row r="358" spans="2:11" x14ac:dyDescent="0.2">
      <c r="B358" s="98"/>
      <c r="C358" s="98"/>
      <c r="E358" s="100"/>
      <c r="F358" s="100"/>
    </row>
    <row r="359" spans="2:11" x14ac:dyDescent="0.2">
      <c r="B359" s="98"/>
      <c r="C359" s="98"/>
      <c r="E359" s="100"/>
      <c r="F359" s="100"/>
    </row>
    <row r="360" spans="2:11" x14ac:dyDescent="0.2">
      <c r="B360" s="98"/>
      <c r="C360" s="98"/>
      <c r="E360" s="101"/>
      <c r="F360" s="101"/>
      <c r="G360" s="102"/>
      <c r="H360" s="102"/>
      <c r="I360" s="102"/>
      <c r="J360" s="102"/>
      <c r="K360" s="102"/>
    </row>
    <row r="361" spans="2:11" x14ac:dyDescent="0.2">
      <c r="B361" s="98"/>
      <c r="C361" s="98"/>
      <c r="E361" s="100"/>
      <c r="F361" s="100"/>
    </row>
    <row r="362" spans="2:11" x14ac:dyDescent="0.2">
      <c r="B362" s="98"/>
      <c r="C362" s="98"/>
      <c r="E362" s="100"/>
      <c r="F362" s="100"/>
    </row>
    <row r="363" spans="2:11" x14ac:dyDescent="0.2">
      <c r="B363" s="98"/>
      <c r="C363" s="98"/>
      <c r="E363" s="100"/>
      <c r="F363" s="100"/>
    </row>
    <row r="364" spans="2:11" x14ac:dyDescent="0.2">
      <c r="B364" s="98"/>
      <c r="C364" s="98"/>
      <c r="E364" s="100"/>
      <c r="F364" s="100"/>
    </row>
    <row r="365" spans="2:11" x14ac:dyDescent="0.2">
      <c r="B365" s="98"/>
      <c r="C365" s="98"/>
      <c r="E365" s="100"/>
      <c r="F365" s="100"/>
    </row>
    <row r="366" spans="2:11" x14ac:dyDescent="0.2">
      <c r="B366" s="98"/>
      <c r="C366" s="98"/>
      <c r="E366" s="100"/>
      <c r="F366" s="100"/>
    </row>
    <row r="367" spans="2:11" x14ac:dyDescent="0.2">
      <c r="B367" s="98"/>
      <c r="C367" s="98"/>
      <c r="E367" s="100"/>
      <c r="F367" s="100"/>
    </row>
    <row r="368" spans="2:11" x14ac:dyDescent="0.2">
      <c r="B368" s="98"/>
      <c r="C368" s="98"/>
      <c r="E368" s="100"/>
      <c r="F368" s="100"/>
    </row>
    <row r="369" spans="2:11" x14ac:dyDescent="0.2">
      <c r="B369" s="103"/>
      <c r="C369" s="103"/>
      <c r="E369" s="101"/>
      <c r="F369" s="101"/>
      <c r="G369" s="102"/>
      <c r="H369" s="102"/>
      <c r="I369" s="102"/>
      <c r="J369" s="102"/>
    </row>
    <row r="370" spans="2:11" x14ac:dyDescent="0.2">
      <c r="B370" s="98"/>
      <c r="C370" s="98"/>
      <c r="E370" s="100"/>
      <c r="F370" s="100"/>
    </row>
    <row r="371" spans="2:11" x14ac:dyDescent="0.2">
      <c r="B371" s="98"/>
      <c r="C371" s="98"/>
      <c r="E371" s="100"/>
      <c r="F371" s="100"/>
    </row>
    <row r="372" spans="2:11" x14ac:dyDescent="0.2">
      <c r="B372" s="98"/>
      <c r="C372" s="98"/>
      <c r="E372" s="100"/>
      <c r="F372" s="100"/>
    </row>
    <row r="373" spans="2:11" x14ac:dyDescent="0.2">
      <c r="B373" s="98"/>
      <c r="C373" s="98"/>
      <c r="E373" s="100"/>
      <c r="F373" s="100"/>
    </row>
    <row r="374" spans="2:11" x14ac:dyDescent="0.2">
      <c r="B374" s="98"/>
      <c r="C374" s="98"/>
      <c r="E374" s="100"/>
      <c r="F374" s="100"/>
    </row>
    <row r="375" spans="2:11" x14ac:dyDescent="0.2">
      <c r="B375" s="98"/>
      <c r="C375" s="98"/>
    </row>
    <row r="376" spans="2:11" x14ac:dyDescent="0.2">
      <c r="B376" s="98"/>
      <c r="C376" s="98"/>
      <c r="E376" s="101"/>
      <c r="F376" s="101"/>
      <c r="G376" s="102"/>
      <c r="H376" s="102"/>
      <c r="I376" s="102"/>
      <c r="J376" s="102"/>
      <c r="K376" s="102"/>
    </row>
    <row r="377" spans="2:11" x14ac:dyDescent="0.2">
      <c r="B377" s="98"/>
      <c r="C377" s="98"/>
      <c r="E377" s="101"/>
      <c r="F377" s="101"/>
      <c r="G377" s="102"/>
      <c r="H377" s="102"/>
      <c r="I377" s="102"/>
      <c r="J377" s="102"/>
      <c r="K377" s="102"/>
    </row>
    <row r="378" spans="2:11" x14ac:dyDescent="0.2">
      <c r="B378" s="98"/>
      <c r="C378" s="98"/>
      <c r="E378" s="101"/>
      <c r="F378" s="101"/>
      <c r="G378" s="102"/>
      <c r="H378" s="102"/>
      <c r="I378" s="102"/>
      <c r="J378" s="102"/>
      <c r="K378" s="102"/>
    </row>
    <row r="379" spans="2:11" x14ac:dyDescent="0.2">
      <c r="B379" s="98"/>
      <c r="C379" s="98"/>
      <c r="E379" s="101"/>
      <c r="F379" s="101"/>
      <c r="G379" s="102"/>
      <c r="H379" s="102"/>
      <c r="I379" s="102"/>
      <c r="J379" s="102"/>
      <c r="K379" s="102"/>
    </row>
    <row r="380" spans="2:11" x14ac:dyDescent="0.2">
      <c r="B380" s="98"/>
      <c r="C380" s="98"/>
      <c r="E380" s="100"/>
      <c r="F380" s="100"/>
    </row>
    <row r="381" spans="2:11" x14ac:dyDescent="0.2">
      <c r="B381" s="98"/>
      <c r="C381" s="98"/>
      <c r="E381" s="101"/>
      <c r="F381" s="101"/>
      <c r="G381" s="102"/>
      <c r="H381" s="102"/>
      <c r="I381" s="102"/>
      <c r="J381" s="102"/>
      <c r="K381" s="102"/>
    </row>
    <row r="382" spans="2:11" x14ac:dyDescent="0.2">
      <c r="B382" s="98"/>
      <c r="C382" s="98"/>
      <c r="E382" s="100"/>
      <c r="F382" s="100"/>
    </row>
    <row r="383" spans="2:11" x14ac:dyDescent="0.2">
      <c r="B383" s="98"/>
      <c r="C383" s="98"/>
      <c r="E383" s="100"/>
      <c r="F383" s="100"/>
    </row>
    <row r="384" spans="2:11" x14ac:dyDescent="0.2">
      <c r="B384" s="98"/>
      <c r="C384" s="98"/>
      <c r="E384" s="101"/>
      <c r="F384" s="101"/>
      <c r="G384" s="102"/>
      <c r="H384" s="102"/>
      <c r="I384" s="102"/>
      <c r="J384" s="102"/>
      <c r="K384" s="102"/>
    </row>
    <row r="385" spans="2:11" x14ac:dyDescent="0.2">
      <c r="B385" s="98"/>
      <c r="C385" s="98"/>
      <c r="E385" s="100"/>
      <c r="F385" s="100"/>
    </row>
    <row r="386" spans="2:11" x14ac:dyDescent="0.2">
      <c r="B386" s="98"/>
      <c r="C386" s="98"/>
      <c r="E386" s="101"/>
      <c r="F386" s="101"/>
      <c r="G386" s="102"/>
      <c r="H386" s="102"/>
      <c r="I386" s="102"/>
      <c r="J386" s="102"/>
      <c r="K386" s="102"/>
    </row>
    <row r="387" spans="2:11" x14ac:dyDescent="0.2">
      <c r="B387" s="98"/>
      <c r="C387" s="98"/>
      <c r="E387" s="100"/>
      <c r="F387" s="100"/>
    </row>
    <row r="388" spans="2:11" x14ac:dyDescent="0.2">
      <c r="E388" s="101"/>
      <c r="F388" s="101"/>
      <c r="G388" s="102"/>
      <c r="H388" s="102"/>
      <c r="I388" s="102"/>
      <c r="J388" s="102"/>
      <c r="K388" s="102"/>
    </row>
    <row r="389" spans="2:11" x14ac:dyDescent="0.2">
      <c r="B389" s="103"/>
      <c r="C389" s="103"/>
      <c r="E389" s="101"/>
      <c r="F389" s="101"/>
      <c r="G389" s="102"/>
      <c r="H389" s="102"/>
      <c r="I389" s="102"/>
      <c r="J389" s="102"/>
    </row>
    <row r="390" spans="2:11" x14ac:dyDescent="0.2">
      <c r="B390" s="103"/>
      <c r="C390" s="103"/>
      <c r="E390" s="101"/>
      <c r="F390" s="101"/>
      <c r="G390" s="102"/>
      <c r="H390" s="102"/>
      <c r="I390" s="102"/>
      <c r="J390" s="102"/>
      <c r="K390" s="102"/>
    </row>
    <row r="391" spans="2:11" x14ac:dyDescent="0.2">
      <c r="B391" s="103"/>
      <c r="C391" s="103"/>
      <c r="E391" s="101"/>
      <c r="F391" s="101"/>
      <c r="G391" s="102"/>
      <c r="H391" s="102"/>
      <c r="I391" s="102"/>
      <c r="J391" s="102"/>
    </row>
    <row r="392" spans="2:11" x14ac:dyDescent="0.2">
      <c r="B392" s="103"/>
      <c r="C392" s="103"/>
      <c r="E392" s="101"/>
      <c r="F392" s="101"/>
      <c r="G392" s="102"/>
      <c r="H392" s="102"/>
      <c r="I392" s="102"/>
      <c r="J392" s="102"/>
    </row>
    <row r="393" spans="2:11" x14ac:dyDescent="0.2">
      <c r="B393" s="98"/>
      <c r="C393" s="98"/>
      <c r="E393" s="101"/>
      <c r="F393" s="101"/>
      <c r="G393" s="102"/>
      <c r="H393" s="102"/>
      <c r="I393" s="102"/>
      <c r="J393" s="102"/>
      <c r="K393" s="102"/>
    </row>
    <row r="394" spans="2:11" x14ac:dyDescent="0.2">
      <c r="B394" s="103"/>
      <c r="C394" s="103"/>
      <c r="E394" s="101"/>
      <c r="F394" s="101"/>
      <c r="G394" s="102"/>
      <c r="H394" s="102"/>
      <c r="I394" s="102"/>
      <c r="J394" s="102"/>
    </row>
    <row r="395" spans="2:11" x14ac:dyDescent="0.2">
      <c r="B395" s="98"/>
      <c r="C395" s="98"/>
      <c r="E395" s="101"/>
      <c r="F395" s="101"/>
      <c r="G395" s="102"/>
      <c r="H395" s="102"/>
      <c r="I395" s="102"/>
      <c r="J395" s="102"/>
      <c r="K395" s="102"/>
    </row>
    <row r="396" spans="2:11" x14ac:dyDescent="0.2">
      <c r="B396" s="98"/>
      <c r="C396" s="98"/>
      <c r="E396" s="100"/>
      <c r="F396" s="100"/>
    </row>
    <row r="397" spans="2:11" x14ac:dyDescent="0.2">
      <c r="B397" s="103"/>
      <c r="C397" s="103"/>
      <c r="E397" s="101"/>
      <c r="F397" s="101"/>
      <c r="G397" s="102"/>
      <c r="H397" s="102"/>
      <c r="I397" s="102"/>
      <c r="J397" s="102"/>
      <c r="K397" s="102"/>
    </row>
    <row r="398" spans="2:11" x14ac:dyDescent="0.2">
      <c r="B398" s="98"/>
      <c r="C398" s="98"/>
      <c r="E398" s="100"/>
      <c r="F398" s="100"/>
    </row>
    <row r="399" spans="2:11" x14ac:dyDescent="0.2">
      <c r="B399" s="103"/>
      <c r="C399" s="103"/>
      <c r="E399" s="101"/>
      <c r="F399" s="101"/>
      <c r="G399" s="102"/>
      <c r="H399" s="102"/>
      <c r="I399" s="102"/>
      <c r="J399" s="102"/>
      <c r="K399" s="102"/>
    </row>
    <row r="400" spans="2:11" x14ac:dyDescent="0.2">
      <c r="B400" s="98"/>
      <c r="C400" s="98"/>
      <c r="E400" s="100"/>
      <c r="F400" s="100"/>
    </row>
    <row r="401" spans="2:11" x14ac:dyDescent="0.2">
      <c r="B401" s="103"/>
      <c r="C401" s="103"/>
      <c r="E401" s="101"/>
      <c r="F401" s="101"/>
      <c r="G401" s="102"/>
      <c r="H401" s="102"/>
      <c r="I401" s="102"/>
      <c r="J401" s="102"/>
    </row>
    <row r="402" spans="2:11" x14ac:dyDescent="0.2">
      <c r="B402" s="98"/>
      <c r="C402" s="98"/>
      <c r="E402" s="101"/>
      <c r="F402" s="101"/>
      <c r="G402" s="102"/>
      <c r="H402" s="102"/>
      <c r="I402" s="102"/>
      <c r="J402" s="102"/>
      <c r="K402" s="102"/>
    </row>
    <row r="403" spans="2:11" x14ac:dyDescent="0.2">
      <c r="B403" s="103"/>
      <c r="C403" s="103"/>
      <c r="E403" s="101"/>
      <c r="F403" s="101"/>
      <c r="G403" s="102"/>
      <c r="H403" s="102"/>
      <c r="I403" s="102"/>
      <c r="J403" s="102"/>
    </row>
    <row r="404" spans="2:11" x14ac:dyDescent="0.2">
      <c r="B404" s="98"/>
      <c r="C404" s="98"/>
      <c r="E404" s="101"/>
      <c r="F404" s="101"/>
      <c r="G404" s="102"/>
      <c r="H404" s="102"/>
      <c r="I404" s="102"/>
      <c r="J404" s="102"/>
      <c r="K404" s="102"/>
    </row>
    <row r="405" spans="2:11" x14ac:dyDescent="0.2">
      <c r="B405" s="98"/>
      <c r="C405" s="98"/>
      <c r="E405" s="100"/>
      <c r="F405" s="100"/>
    </row>
    <row r="406" spans="2:11" x14ac:dyDescent="0.2">
      <c r="B406" s="103"/>
      <c r="C406" s="103"/>
      <c r="E406" s="101"/>
      <c r="F406" s="101"/>
      <c r="G406" s="102"/>
      <c r="H406" s="102"/>
      <c r="I406" s="102"/>
      <c r="J406" s="102"/>
      <c r="K406" s="102"/>
    </row>
    <row r="407" spans="2:11" x14ac:dyDescent="0.2">
      <c r="B407" s="98"/>
      <c r="C407" s="98"/>
      <c r="E407" s="100"/>
      <c r="F407" s="100"/>
    </row>
    <row r="408" spans="2:11" x14ac:dyDescent="0.2">
      <c r="B408" s="103"/>
      <c r="C408" s="103"/>
      <c r="E408" s="101"/>
      <c r="F408" s="101"/>
      <c r="G408" s="102"/>
      <c r="H408" s="102"/>
      <c r="I408" s="102"/>
      <c r="J408" s="102"/>
      <c r="K408" s="102"/>
    </row>
    <row r="409" spans="2:11" x14ac:dyDescent="0.2">
      <c r="B409" s="98"/>
      <c r="C409" s="98"/>
      <c r="E409" s="100"/>
      <c r="F409" s="100"/>
    </row>
    <row r="410" spans="2:11" x14ac:dyDescent="0.2">
      <c r="B410" s="103"/>
      <c r="C410" s="103"/>
      <c r="E410" s="101"/>
      <c r="F410" s="101"/>
      <c r="G410" s="102"/>
      <c r="H410" s="102"/>
      <c r="I410" s="102"/>
      <c r="J410" s="102"/>
      <c r="K410" s="102"/>
    </row>
    <row r="411" spans="2:11" x14ac:dyDescent="0.2">
      <c r="B411" s="98"/>
      <c r="C411" s="98"/>
      <c r="E411" s="101"/>
      <c r="F411" s="101"/>
      <c r="G411" s="102"/>
      <c r="H411" s="102"/>
      <c r="I411" s="102"/>
      <c r="J411" s="102"/>
      <c r="K411" s="102"/>
    </row>
    <row r="412" spans="2:11" x14ac:dyDescent="0.2">
      <c r="B412" s="103"/>
      <c r="C412" s="103"/>
      <c r="E412" s="101"/>
      <c r="F412" s="101"/>
      <c r="G412" s="102"/>
      <c r="H412" s="102"/>
      <c r="I412" s="102"/>
      <c r="J412" s="102"/>
    </row>
    <row r="413" spans="2:11" x14ac:dyDescent="0.2">
      <c r="B413" s="98"/>
      <c r="C413" s="98"/>
    </row>
    <row r="414" spans="2:11" x14ac:dyDescent="0.2">
      <c r="B414" s="98"/>
      <c r="C414" s="98"/>
      <c r="E414" s="101"/>
      <c r="F414" s="101"/>
      <c r="G414" s="102"/>
      <c r="H414" s="102"/>
      <c r="I414" s="102"/>
      <c r="J414" s="102"/>
      <c r="K414" s="102"/>
    </row>
    <row r="415" spans="2:11" x14ac:dyDescent="0.2">
      <c r="B415" s="103"/>
      <c r="C415" s="103"/>
      <c r="E415" s="101"/>
      <c r="F415" s="101"/>
      <c r="G415" s="102"/>
      <c r="H415" s="102"/>
      <c r="I415" s="102"/>
      <c r="J415" s="102"/>
      <c r="K415" s="102"/>
    </row>
    <row r="416" spans="2:11" x14ac:dyDescent="0.2">
      <c r="B416" s="98"/>
      <c r="C416" s="98"/>
      <c r="E416" s="101"/>
      <c r="F416" s="101"/>
      <c r="G416" s="102"/>
      <c r="H416" s="102"/>
      <c r="I416" s="102"/>
      <c r="J416" s="102"/>
      <c r="K416" s="102"/>
    </row>
    <row r="417" spans="2:11" x14ac:dyDescent="0.2">
      <c r="B417" s="103"/>
      <c r="C417" s="103"/>
      <c r="E417" s="101"/>
      <c r="F417" s="101"/>
      <c r="G417" s="102"/>
      <c r="H417" s="102"/>
      <c r="I417" s="102"/>
      <c r="J417" s="102"/>
      <c r="K417" s="102"/>
    </row>
    <row r="418" spans="2:11" x14ac:dyDescent="0.2">
      <c r="B418" s="98"/>
      <c r="C418" s="98"/>
      <c r="E418" s="101"/>
      <c r="F418" s="101"/>
      <c r="G418" s="102"/>
      <c r="H418" s="102"/>
      <c r="I418" s="102"/>
      <c r="J418" s="102"/>
      <c r="K418" s="102"/>
    </row>
    <row r="419" spans="2:11" x14ac:dyDescent="0.2">
      <c r="B419" s="103"/>
      <c r="C419" s="103"/>
      <c r="E419" s="101"/>
      <c r="F419" s="101"/>
      <c r="G419" s="102"/>
      <c r="H419" s="102"/>
      <c r="I419" s="102"/>
      <c r="J419" s="102"/>
      <c r="K419" s="102"/>
    </row>
    <row r="420" spans="2:11" x14ac:dyDescent="0.2">
      <c r="B420" s="98"/>
      <c r="C420" s="98"/>
      <c r="E420" s="100"/>
      <c r="F420" s="100"/>
    </row>
    <row r="421" spans="2:11" x14ac:dyDescent="0.2">
      <c r="B421" s="103"/>
      <c r="C421" s="103"/>
      <c r="E421" s="101"/>
      <c r="F421" s="101"/>
      <c r="G421" s="102"/>
      <c r="H421" s="102"/>
      <c r="I421" s="102"/>
      <c r="J421" s="102"/>
      <c r="K421" s="102"/>
    </row>
    <row r="422" spans="2:11" x14ac:dyDescent="0.2">
      <c r="B422" s="98"/>
      <c r="C422" s="98"/>
      <c r="E422" s="100"/>
      <c r="F422" s="100"/>
    </row>
    <row r="423" spans="2:11" x14ac:dyDescent="0.2">
      <c r="B423" s="103"/>
      <c r="C423" s="103"/>
      <c r="E423" s="101"/>
      <c r="F423" s="101"/>
      <c r="G423" s="102"/>
      <c r="H423" s="102"/>
      <c r="I423" s="102"/>
      <c r="J423" s="102"/>
      <c r="K423" s="102"/>
    </row>
    <row r="424" spans="2:11" x14ac:dyDescent="0.2">
      <c r="B424" s="98"/>
      <c r="C424" s="98"/>
      <c r="E424" s="100"/>
      <c r="F424" s="100"/>
    </row>
    <row r="425" spans="2:11" x14ac:dyDescent="0.2">
      <c r="B425" s="103"/>
      <c r="C425" s="103"/>
      <c r="E425" s="101"/>
      <c r="F425" s="101"/>
      <c r="G425" s="102"/>
      <c r="H425" s="102"/>
      <c r="I425" s="102"/>
      <c r="J425" s="102"/>
      <c r="K425" s="102"/>
    </row>
    <row r="426" spans="2:11" x14ac:dyDescent="0.2">
      <c r="B426" s="103"/>
      <c r="C426" s="103"/>
      <c r="E426" s="101"/>
      <c r="F426" s="101"/>
      <c r="G426" s="102"/>
      <c r="H426" s="102"/>
      <c r="I426" s="102"/>
      <c r="J426" s="102"/>
    </row>
    <row r="427" spans="2:11" x14ac:dyDescent="0.2">
      <c r="B427" s="98"/>
      <c r="C427" s="98"/>
      <c r="E427" s="101"/>
      <c r="F427" s="101"/>
      <c r="G427" s="102"/>
      <c r="H427" s="102"/>
      <c r="I427" s="102"/>
      <c r="J427" s="102"/>
      <c r="K427" s="102"/>
    </row>
    <row r="428" spans="2:11" x14ac:dyDescent="0.2">
      <c r="E428" s="100"/>
      <c r="F428" s="100"/>
    </row>
    <row r="429" spans="2:11" x14ac:dyDescent="0.2">
      <c r="B429" s="103"/>
      <c r="C429" s="103"/>
      <c r="E429" s="101"/>
      <c r="F429" s="101"/>
      <c r="G429" s="102"/>
      <c r="H429" s="102"/>
      <c r="I429" s="102"/>
      <c r="J429" s="102"/>
      <c r="K429" s="102"/>
    </row>
    <row r="430" spans="2:11" x14ac:dyDescent="0.2">
      <c r="B430" s="103"/>
      <c r="C430" s="103"/>
      <c r="E430" s="101"/>
      <c r="F430" s="101"/>
      <c r="G430" s="102"/>
      <c r="H430" s="102"/>
      <c r="I430" s="102"/>
      <c r="J430" s="102"/>
    </row>
    <row r="431" spans="2:11" x14ac:dyDescent="0.2">
      <c r="B431" s="103"/>
      <c r="C431" s="103"/>
      <c r="E431" s="101"/>
      <c r="F431" s="101"/>
      <c r="G431" s="102"/>
      <c r="H431" s="102"/>
      <c r="I431" s="102"/>
      <c r="J431" s="102"/>
      <c r="K431" s="102"/>
    </row>
    <row r="432" spans="2:11" x14ac:dyDescent="0.2">
      <c r="B432" s="103"/>
      <c r="C432" s="103"/>
      <c r="E432" s="101"/>
      <c r="F432" s="101"/>
      <c r="G432" s="102"/>
      <c r="H432" s="102"/>
      <c r="I432" s="102"/>
      <c r="J432" s="102"/>
    </row>
    <row r="433" spans="2:11" x14ac:dyDescent="0.2">
      <c r="B433" s="103"/>
      <c r="C433" s="103"/>
      <c r="E433" s="101"/>
      <c r="F433" s="101"/>
      <c r="G433" s="102"/>
      <c r="H433" s="102"/>
      <c r="I433" s="102"/>
      <c r="J433" s="102"/>
    </row>
    <row r="434" spans="2:11" x14ac:dyDescent="0.2">
      <c r="B434" s="103"/>
      <c r="C434" s="103"/>
      <c r="E434" s="101"/>
      <c r="F434" s="101"/>
      <c r="G434" s="102"/>
      <c r="H434" s="102"/>
      <c r="I434" s="102"/>
      <c r="J434" s="102"/>
    </row>
    <row r="435" spans="2:11" x14ac:dyDescent="0.2">
      <c r="B435" s="98"/>
      <c r="C435" s="98"/>
      <c r="E435" s="101"/>
      <c r="F435" s="101"/>
      <c r="G435" s="102"/>
      <c r="H435" s="102"/>
      <c r="I435" s="102"/>
      <c r="J435" s="102"/>
      <c r="K435" s="102"/>
    </row>
    <row r="436" spans="2:11" x14ac:dyDescent="0.2">
      <c r="B436" s="103"/>
      <c r="C436" s="103"/>
      <c r="E436" s="101"/>
      <c r="F436" s="101"/>
      <c r="G436" s="102"/>
      <c r="H436" s="102"/>
      <c r="I436" s="102"/>
      <c r="J436" s="102"/>
      <c r="K436" s="102"/>
    </row>
    <row r="437" spans="2:11" x14ac:dyDescent="0.2">
      <c r="B437" s="98"/>
      <c r="C437" s="98"/>
      <c r="E437" s="100"/>
      <c r="F437" s="100"/>
    </row>
    <row r="438" spans="2:11" x14ac:dyDescent="0.2">
      <c r="B438" s="103"/>
      <c r="C438" s="103"/>
      <c r="E438" s="101"/>
      <c r="F438" s="101"/>
      <c r="G438" s="102"/>
      <c r="H438" s="102"/>
      <c r="I438" s="102"/>
      <c r="J438" s="102"/>
      <c r="K438" s="102"/>
    </row>
    <row r="439" spans="2:11" x14ac:dyDescent="0.2">
      <c r="B439" s="98"/>
      <c r="C439" s="98"/>
      <c r="E439" s="100"/>
      <c r="F439" s="100"/>
    </row>
    <row r="440" spans="2:11" x14ac:dyDescent="0.2">
      <c r="B440" s="103"/>
      <c r="C440" s="103"/>
      <c r="E440" s="101"/>
      <c r="F440" s="101"/>
      <c r="G440" s="102"/>
      <c r="H440" s="102"/>
      <c r="I440" s="102"/>
      <c r="J440" s="102"/>
      <c r="K440" s="102"/>
    </row>
    <row r="441" spans="2:11" x14ac:dyDescent="0.2">
      <c r="B441" s="98"/>
      <c r="C441" s="98"/>
      <c r="E441" s="100"/>
      <c r="F441" s="100"/>
    </row>
    <row r="442" spans="2:11" x14ac:dyDescent="0.2">
      <c r="B442" s="103"/>
      <c r="C442" s="103"/>
      <c r="E442" s="101"/>
      <c r="F442" s="101"/>
      <c r="G442" s="102"/>
      <c r="H442" s="102"/>
      <c r="I442" s="102"/>
      <c r="J442" s="102"/>
    </row>
    <row r="443" spans="2:11" x14ac:dyDescent="0.2">
      <c r="B443" s="98"/>
      <c r="C443" s="98"/>
      <c r="E443" s="100"/>
      <c r="F443" s="100"/>
    </row>
    <row r="444" spans="2:11" x14ac:dyDescent="0.2">
      <c r="B444" s="103"/>
      <c r="C444" s="103"/>
      <c r="E444" s="101"/>
      <c r="F444" s="101"/>
      <c r="G444" s="102"/>
      <c r="H444" s="102"/>
      <c r="I444" s="102"/>
      <c r="J444" s="102"/>
      <c r="K444" s="102"/>
    </row>
    <row r="445" spans="2:11" x14ac:dyDescent="0.2">
      <c r="B445" s="98"/>
      <c r="C445" s="98"/>
      <c r="E445" s="101"/>
      <c r="F445" s="101"/>
      <c r="G445" s="102"/>
      <c r="H445" s="102"/>
      <c r="I445" s="102"/>
      <c r="J445" s="102"/>
      <c r="K445" s="102"/>
    </row>
    <row r="446" spans="2:11" x14ac:dyDescent="0.2">
      <c r="B446" s="103"/>
      <c r="C446" s="103"/>
      <c r="E446" s="101"/>
      <c r="F446" s="101"/>
      <c r="G446" s="102"/>
      <c r="H446" s="102"/>
      <c r="I446" s="102"/>
      <c r="J446" s="102"/>
    </row>
    <row r="447" spans="2:11" x14ac:dyDescent="0.2">
      <c r="B447" s="98"/>
      <c r="C447" s="98"/>
      <c r="E447" s="101"/>
      <c r="F447" s="101"/>
      <c r="G447" s="102"/>
      <c r="H447" s="102"/>
      <c r="I447" s="102"/>
      <c r="J447" s="102"/>
      <c r="K447" s="102"/>
    </row>
    <row r="448" spans="2:11" x14ac:dyDescent="0.2">
      <c r="B448" s="98"/>
      <c r="C448" s="98"/>
      <c r="E448" s="100"/>
      <c r="F448" s="100"/>
    </row>
    <row r="449" spans="2:11" x14ac:dyDescent="0.2">
      <c r="B449" s="98"/>
      <c r="C449" s="98"/>
      <c r="E449" s="101"/>
      <c r="F449" s="101"/>
      <c r="G449" s="102"/>
      <c r="H449" s="102"/>
      <c r="I449" s="102"/>
      <c r="J449" s="102"/>
      <c r="K449" s="102"/>
    </row>
    <row r="450" spans="2:11" x14ac:dyDescent="0.2">
      <c r="B450" s="103"/>
      <c r="C450" s="103"/>
      <c r="E450" s="101"/>
      <c r="F450" s="101"/>
      <c r="G450" s="102"/>
      <c r="H450" s="102"/>
      <c r="I450" s="102"/>
      <c r="J450" s="102"/>
    </row>
    <row r="451" spans="2:11" x14ac:dyDescent="0.2">
      <c r="B451" s="103"/>
      <c r="C451" s="103"/>
      <c r="E451" s="101"/>
      <c r="F451" s="101"/>
      <c r="G451" s="102"/>
      <c r="H451" s="102"/>
      <c r="I451" s="102"/>
      <c r="J451" s="102"/>
      <c r="K451" s="102"/>
    </row>
    <row r="452" spans="2:11" x14ac:dyDescent="0.2">
      <c r="B452" s="98"/>
      <c r="C452" s="98"/>
      <c r="E452" s="100"/>
      <c r="F452" s="100"/>
    </row>
    <row r="453" spans="2:11" x14ac:dyDescent="0.2">
      <c r="B453" s="103"/>
      <c r="C453" s="103"/>
      <c r="E453" s="101"/>
      <c r="F453" s="101"/>
      <c r="G453" s="102"/>
      <c r="H453" s="102"/>
      <c r="I453" s="102"/>
      <c r="J453" s="102"/>
      <c r="K453" s="102"/>
    </row>
    <row r="454" spans="2:11" x14ac:dyDescent="0.2">
      <c r="B454" s="98"/>
      <c r="C454" s="98"/>
      <c r="E454" s="100"/>
      <c r="F454" s="100"/>
    </row>
    <row r="455" spans="2:11" x14ac:dyDescent="0.2">
      <c r="B455" s="103"/>
      <c r="C455" s="103"/>
      <c r="E455" s="101"/>
      <c r="F455" s="101"/>
      <c r="G455" s="102"/>
      <c r="H455" s="102"/>
      <c r="I455" s="102"/>
      <c r="J455" s="102"/>
      <c r="K455" s="102"/>
    </row>
    <row r="456" spans="2:11" x14ac:dyDescent="0.2">
      <c r="B456" s="98"/>
      <c r="C456" s="98"/>
      <c r="E456" s="100"/>
      <c r="F456" s="100"/>
    </row>
    <row r="457" spans="2:11" x14ac:dyDescent="0.2">
      <c r="B457" s="98"/>
      <c r="C457" s="98"/>
      <c r="E457" s="101"/>
      <c r="F457" s="101"/>
      <c r="G457" s="102"/>
      <c r="H457" s="102"/>
      <c r="I457" s="102"/>
      <c r="J457" s="102"/>
      <c r="K457" s="102"/>
    </row>
    <row r="458" spans="2:11" x14ac:dyDescent="0.2">
      <c r="B458" s="98"/>
      <c r="C458" s="98"/>
      <c r="E458" s="100"/>
      <c r="F458" s="100"/>
    </row>
    <row r="459" spans="2:11" x14ac:dyDescent="0.2">
      <c r="B459" s="103"/>
      <c r="C459" s="103"/>
      <c r="E459" s="101"/>
      <c r="F459" s="101"/>
      <c r="G459" s="102"/>
      <c r="H459" s="102"/>
      <c r="I459" s="102"/>
      <c r="J459" s="102"/>
      <c r="K459" s="102"/>
    </row>
    <row r="460" spans="2:11" x14ac:dyDescent="0.2">
      <c r="B460" s="103"/>
      <c r="C460" s="103"/>
      <c r="E460" s="101"/>
      <c r="F460" s="101"/>
      <c r="G460" s="102"/>
      <c r="H460" s="102"/>
      <c r="I460" s="102"/>
      <c r="J460" s="102"/>
    </row>
    <row r="461" spans="2:11" x14ac:dyDescent="0.2">
      <c r="B461" s="98"/>
      <c r="C461" s="98"/>
      <c r="E461" s="100"/>
      <c r="F461" s="100"/>
    </row>
    <row r="462" spans="2:11" x14ac:dyDescent="0.2">
      <c r="B462" s="103"/>
      <c r="C462" s="103"/>
      <c r="E462" s="101"/>
      <c r="F462" s="101"/>
      <c r="G462" s="102"/>
      <c r="H462" s="102"/>
      <c r="I462" s="102"/>
      <c r="J462" s="102"/>
    </row>
    <row r="463" spans="2:11" x14ac:dyDescent="0.2">
      <c r="B463" s="98"/>
      <c r="C463" s="98"/>
    </row>
    <row r="464" spans="2:11" x14ac:dyDescent="0.2">
      <c r="B464" s="103"/>
      <c r="C464" s="103"/>
      <c r="E464" s="101"/>
      <c r="F464" s="101"/>
      <c r="G464" s="102"/>
      <c r="H464" s="102"/>
      <c r="I464" s="102"/>
      <c r="J464" s="102"/>
      <c r="K464" s="102"/>
    </row>
    <row r="465" spans="2:11" x14ac:dyDescent="0.2">
      <c r="B465" s="98"/>
      <c r="C465" s="98"/>
      <c r="E465" s="101"/>
      <c r="F465" s="101"/>
      <c r="G465" s="102"/>
      <c r="H465" s="102"/>
      <c r="I465" s="102"/>
      <c r="J465" s="102"/>
      <c r="K465" s="102"/>
    </row>
    <row r="466" spans="2:11" x14ac:dyDescent="0.2">
      <c r="B466" s="103"/>
      <c r="C466" s="103"/>
      <c r="E466" s="101"/>
      <c r="F466" s="101"/>
      <c r="G466" s="102"/>
      <c r="H466" s="102"/>
      <c r="I466" s="102"/>
      <c r="J466" s="102"/>
      <c r="K466" s="102"/>
    </row>
    <row r="467" spans="2:11" x14ac:dyDescent="0.2">
      <c r="B467" s="98"/>
      <c r="C467" s="98"/>
      <c r="E467" s="101"/>
      <c r="F467" s="101"/>
      <c r="G467" s="102"/>
      <c r="H467" s="102"/>
      <c r="I467" s="102"/>
      <c r="J467" s="102"/>
      <c r="K467" s="102"/>
    </row>
    <row r="468" spans="2:11" x14ac:dyDescent="0.2">
      <c r="B468" s="103"/>
      <c r="C468" s="103"/>
      <c r="E468" s="101"/>
      <c r="F468" s="101"/>
      <c r="G468" s="102"/>
      <c r="H468" s="102"/>
      <c r="I468" s="102"/>
      <c r="J468" s="102"/>
    </row>
    <row r="469" spans="2:11" x14ac:dyDescent="0.2">
      <c r="B469" s="98"/>
      <c r="C469" s="98"/>
    </row>
    <row r="470" spans="2:11" x14ac:dyDescent="0.2">
      <c r="B470" s="103"/>
      <c r="C470" s="103"/>
      <c r="E470" s="101"/>
      <c r="F470" s="101"/>
      <c r="G470" s="102"/>
      <c r="H470" s="102"/>
      <c r="I470" s="102"/>
      <c r="J470" s="102"/>
      <c r="K470" s="102"/>
    </row>
    <row r="471" spans="2:11" x14ac:dyDescent="0.2">
      <c r="B471" s="98"/>
      <c r="C471" s="98"/>
      <c r="E471" s="101"/>
      <c r="F471" s="101"/>
      <c r="G471" s="102"/>
      <c r="H471" s="102"/>
      <c r="I471" s="102"/>
      <c r="J471" s="102"/>
      <c r="K471" s="102"/>
    </row>
    <row r="472" spans="2:11" x14ac:dyDescent="0.2">
      <c r="B472" s="103"/>
      <c r="C472" s="103"/>
      <c r="E472" s="101"/>
      <c r="F472" s="101"/>
      <c r="G472" s="102"/>
      <c r="H472" s="102"/>
      <c r="I472" s="102"/>
      <c r="J472" s="102"/>
      <c r="K472" s="102"/>
    </row>
    <row r="473" spans="2:11" x14ac:dyDescent="0.2">
      <c r="B473" s="98"/>
      <c r="C473" s="98"/>
      <c r="E473" s="101"/>
      <c r="F473" s="101"/>
      <c r="G473" s="102"/>
      <c r="H473" s="102"/>
      <c r="I473" s="102"/>
      <c r="J473" s="102"/>
      <c r="K473" s="102"/>
    </row>
    <row r="474" spans="2:11" x14ac:dyDescent="0.2">
      <c r="B474" s="103"/>
      <c r="C474" s="103"/>
      <c r="E474" s="101"/>
      <c r="F474" s="101"/>
      <c r="G474" s="102"/>
      <c r="H474" s="102"/>
      <c r="I474" s="102"/>
      <c r="J474" s="102"/>
    </row>
    <row r="475" spans="2:11" x14ac:dyDescent="0.2">
      <c r="B475" s="98"/>
      <c r="C475" s="98"/>
    </row>
    <row r="476" spans="2:11" x14ac:dyDescent="0.2">
      <c r="B476" s="98"/>
      <c r="C476" s="98"/>
      <c r="E476" s="101"/>
      <c r="F476" s="101"/>
      <c r="G476" s="102"/>
      <c r="H476" s="102"/>
      <c r="I476" s="102"/>
      <c r="J476" s="102"/>
      <c r="K476" s="102"/>
    </row>
    <row r="477" spans="2:11" x14ac:dyDescent="0.2">
      <c r="B477" s="98"/>
      <c r="C477" s="98"/>
      <c r="E477" s="101"/>
      <c r="F477" s="101"/>
      <c r="G477" s="102"/>
      <c r="H477" s="102"/>
      <c r="I477" s="102"/>
      <c r="J477" s="102"/>
      <c r="K477" s="102"/>
    </row>
    <row r="478" spans="2:11" x14ac:dyDescent="0.2">
      <c r="E478" s="101"/>
      <c r="F478" s="101"/>
      <c r="G478" s="102"/>
      <c r="H478" s="102"/>
      <c r="I478" s="102"/>
      <c r="J478" s="102"/>
      <c r="K478" s="102"/>
    </row>
    <row r="479" spans="2:11" x14ac:dyDescent="0.2">
      <c r="B479" s="103"/>
      <c r="C479" s="103"/>
      <c r="E479" s="101"/>
      <c r="F479" s="101"/>
      <c r="G479" s="102"/>
      <c r="H479" s="102"/>
      <c r="I479" s="102"/>
      <c r="J479" s="102"/>
      <c r="K479" s="102"/>
    </row>
    <row r="480" spans="2:11" x14ac:dyDescent="0.2">
      <c r="B480" s="103"/>
      <c r="C480" s="103"/>
      <c r="E480" s="101"/>
      <c r="F480" s="101"/>
      <c r="G480" s="102"/>
      <c r="H480" s="102"/>
      <c r="I480" s="102"/>
      <c r="J480" s="102"/>
      <c r="K480" s="102"/>
    </row>
    <row r="481" spans="2:11" x14ac:dyDescent="0.2">
      <c r="B481" s="103"/>
      <c r="C481" s="103"/>
      <c r="E481" s="101"/>
      <c r="F481" s="101"/>
      <c r="G481" s="102"/>
      <c r="H481" s="102"/>
      <c r="I481" s="102"/>
      <c r="J481" s="102"/>
      <c r="K481" s="102"/>
    </row>
    <row r="482" spans="2:11" x14ac:dyDescent="0.2">
      <c r="B482" s="103"/>
      <c r="C482" s="103"/>
      <c r="E482" s="101"/>
      <c r="F482" s="101"/>
      <c r="G482" s="102"/>
      <c r="H482" s="102"/>
      <c r="I482" s="102"/>
      <c r="J482" s="102"/>
    </row>
    <row r="483" spans="2:11" x14ac:dyDescent="0.2">
      <c r="B483" s="98"/>
      <c r="C483" s="98"/>
      <c r="E483" s="100"/>
      <c r="F483" s="100"/>
    </row>
    <row r="484" spans="2:11" x14ac:dyDescent="0.2">
      <c r="E484" s="100"/>
      <c r="F484" s="100"/>
    </row>
    <row r="485" spans="2:11" x14ac:dyDescent="0.2">
      <c r="B485" s="103"/>
      <c r="C485" s="103"/>
      <c r="E485" s="101"/>
      <c r="F485" s="101"/>
      <c r="G485" s="102"/>
      <c r="H485" s="102"/>
      <c r="I485" s="102"/>
      <c r="J485" s="102"/>
    </row>
    <row r="486" spans="2:11" x14ac:dyDescent="0.2">
      <c r="B486" s="103"/>
      <c r="C486" s="103"/>
      <c r="E486" s="101"/>
      <c r="F486" s="101"/>
      <c r="G486" s="102"/>
      <c r="H486" s="102"/>
      <c r="I486" s="102"/>
      <c r="J486" s="102"/>
    </row>
    <row r="487" spans="2:11" x14ac:dyDescent="0.2">
      <c r="B487" s="103"/>
      <c r="C487" s="103"/>
      <c r="E487" s="101"/>
      <c r="F487" s="101"/>
      <c r="G487" s="102"/>
      <c r="H487" s="102"/>
      <c r="I487" s="102"/>
      <c r="J487" s="102"/>
    </row>
    <row r="488" spans="2:11" x14ac:dyDescent="0.2">
      <c r="B488" s="103"/>
      <c r="C488" s="103"/>
      <c r="E488" s="101"/>
      <c r="F488" s="101"/>
      <c r="G488" s="102"/>
      <c r="H488" s="102"/>
      <c r="I488" s="102"/>
      <c r="J488" s="102"/>
      <c r="K488" s="102"/>
    </row>
    <row r="489" spans="2:11" x14ac:dyDescent="0.2">
      <c r="B489" s="98"/>
      <c r="C489" s="98"/>
      <c r="E489" s="100"/>
      <c r="F489" s="100"/>
    </row>
    <row r="490" spans="2:11" x14ac:dyDescent="0.2">
      <c r="E490" s="100"/>
      <c r="F490" s="100"/>
    </row>
    <row r="491" spans="2:11" x14ac:dyDescent="0.2">
      <c r="B491" s="103"/>
      <c r="C491" s="103"/>
      <c r="E491" s="101"/>
      <c r="F491" s="101"/>
      <c r="G491" s="102"/>
      <c r="H491" s="102"/>
      <c r="I491" s="102"/>
      <c r="J491" s="102"/>
    </row>
    <row r="492" spans="2:11" x14ac:dyDescent="0.2">
      <c r="B492" s="103"/>
      <c r="C492" s="103"/>
      <c r="E492" s="101"/>
      <c r="F492" s="101"/>
      <c r="G492" s="102"/>
      <c r="H492" s="102"/>
      <c r="I492" s="102"/>
      <c r="J492" s="102"/>
      <c r="K492" s="102"/>
    </row>
    <row r="493" spans="2:11" x14ac:dyDescent="0.2">
      <c r="B493" s="103"/>
      <c r="C493" s="103"/>
      <c r="E493" s="101"/>
      <c r="F493" s="101"/>
      <c r="G493" s="102"/>
      <c r="H493" s="102"/>
      <c r="I493" s="102"/>
      <c r="J493" s="102"/>
    </row>
    <row r="494" spans="2:11" x14ac:dyDescent="0.2">
      <c r="B494" s="103"/>
      <c r="C494" s="103"/>
      <c r="E494" s="101"/>
      <c r="F494" s="101"/>
      <c r="G494" s="102"/>
      <c r="H494" s="102"/>
      <c r="I494" s="102"/>
      <c r="J494" s="102"/>
    </row>
    <row r="495" spans="2:11" x14ac:dyDescent="0.2">
      <c r="B495" s="103"/>
      <c r="C495" s="103"/>
      <c r="E495" s="101"/>
      <c r="F495" s="101"/>
      <c r="G495" s="102"/>
      <c r="H495" s="102"/>
      <c r="I495" s="102"/>
      <c r="J495" s="102"/>
    </row>
    <row r="496" spans="2:11" x14ac:dyDescent="0.2">
      <c r="B496" s="103"/>
      <c r="C496" s="103"/>
      <c r="E496" s="101"/>
      <c r="F496" s="101"/>
      <c r="G496" s="102"/>
      <c r="H496" s="102"/>
      <c r="I496" s="102"/>
      <c r="J496" s="102"/>
    </row>
    <row r="497" spans="2:11" x14ac:dyDescent="0.2">
      <c r="B497" s="98"/>
      <c r="C497" s="98"/>
      <c r="E497" s="100"/>
      <c r="F497" s="100"/>
    </row>
    <row r="498" spans="2:11" x14ac:dyDescent="0.2">
      <c r="B498" s="98"/>
      <c r="C498" s="98"/>
      <c r="E498" s="100"/>
      <c r="F498" s="100"/>
    </row>
    <row r="499" spans="2:11" x14ac:dyDescent="0.2">
      <c r="B499" s="98"/>
      <c r="C499" s="98"/>
      <c r="E499" s="101"/>
      <c r="F499" s="101"/>
      <c r="G499" s="102"/>
      <c r="H499" s="102"/>
      <c r="I499" s="102"/>
      <c r="J499" s="102"/>
      <c r="K499" s="102"/>
    </row>
    <row r="500" spans="2:11" x14ac:dyDescent="0.2">
      <c r="B500" s="98"/>
      <c r="C500" s="98"/>
      <c r="E500" s="101"/>
      <c r="F500" s="101"/>
      <c r="G500" s="102"/>
      <c r="H500" s="102"/>
      <c r="I500" s="102"/>
      <c r="J500" s="102"/>
      <c r="K500" s="102"/>
    </row>
    <row r="501" spans="2:11" x14ac:dyDescent="0.2">
      <c r="B501" s="98"/>
      <c r="C501" s="98"/>
      <c r="E501" s="100"/>
      <c r="F501" s="100"/>
    </row>
    <row r="502" spans="2:11" x14ac:dyDescent="0.2">
      <c r="B502" s="98"/>
      <c r="C502" s="98"/>
      <c r="E502" s="100"/>
      <c r="F502" s="100"/>
    </row>
    <row r="503" spans="2:11" x14ac:dyDescent="0.2">
      <c r="B503" s="103"/>
      <c r="C503" s="103"/>
      <c r="E503" s="101"/>
      <c r="F503" s="101"/>
      <c r="G503" s="102"/>
      <c r="H503" s="102"/>
      <c r="I503" s="102"/>
      <c r="J503" s="102"/>
    </row>
    <row r="504" spans="2:11" x14ac:dyDescent="0.2">
      <c r="B504" s="98"/>
      <c r="C504" s="98"/>
      <c r="E504" s="100"/>
      <c r="F504" s="100"/>
    </row>
    <row r="505" spans="2:11" x14ac:dyDescent="0.2">
      <c r="B505" s="98"/>
      <c r="C505" s="98"/>
      <c r="E505" s="100"/>
      <c r="F505" s="100"/>
    </row>
    <row r="506" spans="2:11" x14ac:dyDescent="0.2">
      <c r="B506" s="98"/>
      <c r="C506" s="98"/>
      <c r="E506" s="100"/>
      <c r="F506" s="100"/>
    </row>
    <row r="507" spans="2:11" x14ac:dyDescent="0.2">
      <c r="B507" s="103"/>
      <c r="C507" s="103"/>
      <c r="E507" s="101"/>
      <c r="F507" s="101"/>
      <c r="G507" s="102"/>
      <c r="H507" s="102"/>
      <c r="I507" s="102"/>
      <c r="J507" s="102"/>
      <c r="K507" s="102"/>
    </row>
    <row r="508" spans="2:11" x14ac:dyDescent="0.2">
      <c r="B508" s="98"/>
      <c r="C508" s="98"/>
      <c r="E508" s="100"/>
      <c r="F508" s="100"/>
    </row>
    <row r="509" spans="2:11" x14ac:dyDescent="0.2">
      <c r="B509" s="98"/>
      <c r="C509" s="98"/>
      <c r="E509" s="100"/>
      <c r="F509" s="100"/>
    </row>
    <row r="510" spans="2:11" x14ac:dyDescent="0.2">
      <c r="B510" s="98"/>
      <c r="C510" s="98"/>
      <c r="E510" s="101"/>
      <c r="F510" s="101"/>
      <c r="G510" s="102"/>
      <c r="H510" s="102"/>
      <c r="I510" s="102"/>
      <c r="J510" s="102"/>
      <c r="K510" s="102"/>
    </row>
    <row r="511" spans="2:11" x14ac:dyDescent="0.2">
      <c r="B511" s="98"/>
      <c r="C511" s="98"/>
      <c r="E511" s="100"/>
      <c r="F511" s="100"/>
    </row>
    <row r="512" spans="2:11" x14ac:dyDescent="0.2">
      <c r="B512" s="98"/>
      <c r="C512" s="98"/>
      <c r="E512" s="100"/>
      <c r="F512" s="100"/>
    </row>
    <row r="513" spans="2:11" x14ac:dyDescent="0.2">
      <c r="B513" s="98"/>
      <c r="C513" s="98"/>
      <c r="E513" s="101"/>
      <c r="F513" s="101"/>
      <c r="G513" s="102"/>
      <c r="H513" s="102"/>
      <c r="I513" s="102"/>
      <c r="J513" s="102"/>
      <c r="K513" s="102"/>
    </row>
    <row r="514" spans="2:11" x14ac:dyDescent="0.2">
      <c r="B514" s="103"/>
      <c r="C514" s="103"/>
      <c r="E514" s="101"/>
      <c r="F514" s="101"/>
      <c r="G514" s="102"/>
      <c r="H514" s="102"/>
      <c r="I514" s="102"/>
      <c r="J514" s="102"/>
      <c r="K514" s="102"/>
    </row>
    <row r="515" spans="2:11" x14ac:dyDescent="0.2">
      <c r="B515" s="103"/>
      <c r="C515" s="103"/>
      <c r="E515" s="101"/>
      <c r="F515" s="101"/>
      <c r="G515" s="102"/>
      <c r="H515" s="102"/>
      <c r="I515" s="102"/>
      <c r="J515" s="102"/>
    </row>
    <row r="516" spans="2:11" x14ac:dyDescent="0.2">
      <c r="B516" s="98"/>
      <c r="C516" s="98"/>
    </row>
    <row r="517" spans="2:11" x14ac:dyDescent="0.2">
      <c r="B517" s="98"/>
      <c r="C517" s="98"/>
      <c r="E517" s="101"/>
      <c r="F517" s="101"/>
      <c r="G517" s="102"/>
      <c r="H517" s="102"/>
      <c r="I517" s="102"/>
      <c r="J517" s="102"/>
      <c r="K517" s="102"/>
    </row>
    <row r="518" spans="2:11" x14ac:dyDescent="0.2">
      <c r="B518" s="98"/>
      <c r="C518" s="98"/>
      <c r="E518" s="101"/>
      <c r="F518" s="101"/>
      <c r="G518" s="102"/>
      <c r="H518" s="102"/>
      <c r="I518" s="102"/>
      <c r="J518" s="102"/>
      <c r="K518" s="102"/>
    </row>
    <row r="519" spans="2:11" x14ac:dyDescent="0.2">
      <c r="B519" s="98"/>
      <c r="C519" s="98"/>
      <c r="E519" s="101"/>
      <c r="F519" s="101"/>
      <c r="G519" s="102"/>
      <c r="H519" s="102"/>
      <c r="I519" s="102"/>
      <c r="J519" s="102"/>
      <c r="K519" s="102"/>
    </row>
    <row r="520" spans="2:11" x14ac:dyDescent="0.2">
      <c r="B520" s="98"/>
      <c r="C520" s="98"/>
      <c r="E520" s="101"/>
      <c r="F520" s="101"/>
      <c r="G520" s="102"/>
      <c r="H520" s="102"/>
      <c r="I520" s="102"/>
      <c r="J520" s="102"/>
      <c r="K520" s="102"/>
    </row>
    <row r="521" spans="2:11" x14ac:dyDescent="0.2">
      <c r="B521" s="98"/>
      <c r="C521" s="98"/>
      <c r="E521" s="101"/>
      <c r="F521" s="101"/>
      <c r="G521" s="102"/>
      <c r="H521" s="102"/>
      <c r="I521" s="102"/>
      <c r="J521" s="102"/>
      <c r="K521" s="102"/>
    </row>
    <row r="522" spans="2:11" x14ac:dyDescent="0.2">
      <c r="B522" s="103"/>
      <c r="C522" s="103"/>
      <c r="E522" s="101"/>
      <c r="F522" s="101"/>
      <c r="G522" s="102"/>
      <c r="H522" s="102"/>
      <c r="I522" s="102"/>
      <c r="J522" s="102"/>
      <c r="K522" s="102"/>
    </row>
    <row r="523" spans="2:11" x14ac:dyDescent="0.2">
      <c r="B523" s="98"/>
      <c r="C523" s="98"/>
      <c r="E523" s="100"/>
      <c r="F523" s="100"/>
    </row>
    <row r="524" spans="2:11" x14ac:dyDescent="0.2">
      <c r="B524" s="98"/>
      <c r="C524" s="98"/>
      <c r="E524" s="101"/>
      <c r="F524" s="101"/>
      <c r="G524" s="102"/>
      <c r="H524" s="102"/>
      <c r="I524" s="102"/>
      <c r="J524" s="102"/>
      <c r="K524" s="102"/>
    </row>
    <row r="525" spans="2:11" x14ac:dyDescent="0.2">
      <c r="B525" s="103"/>
      <c r="C525" s="103"/>
      <c r="E525" s="101"/>
      <c r="F525" s="101"/>
      <c r="G525" s="102"/>
      <c r="H525" s="102"/>
      <c r="I525" s="102"/>
      <c r="J525" s="102"/>
    </row>
    <row r="526" spans="2:11" x14ac:dyDescent="0.2">
      <c r="B526" s="98"/>
      <c r="C526" s="98"/>
      <c r="E526" s="100"/>
      <c r="F526" s="100"/>
    </row>
    <row r="527" spans="2:11" x14ac:dyDescent="0.2">
      <c r="B527" s="98"/>
      <c r="C527" s="98"/>
      <c r="E527" s="100"/>
      <c r="F527" s="100"/>
    </row>
    <row r="528" spans="2:11" x14ac:dyDescent="0.2">
      <c r="B528" s="103"/>
      <c r="C528" s="103"/>
      <c r="E528" s="101"/>
      <c r="F528" s="101"/>
      <c r="G528" s="102"/>
      <c r="H528" s="102"/>
      <c r="I528" s="102"/>
      <c r="J528" s="102"/>
      <c r="K528" s="102"/>
    </row>
    <row r="529" spans="2:11" x14ac:dyDescent="0.2">
      <c r="B529" s="103"/>
      <c r="C529" s="103"/>
      <c r="E529" s="101"/>
      <c r="F529" s="101"/>
      <c r="G529" s="102"/>
      <c r="H529" s="102"/>
      <c r="I529" s="102"/>
      <c r="J529" s="102"/>
    </row>
    <row r="530" spans="2:11" x14ac:dyDescent="0.2">
      <c r="B530" s="98"/>
      <c r="C530" s="98"/>
      <c r="E530" s="100"/>
      <c r="F530" s="100"/>
    </row>
    <row r="531" spans="2:11" x14ac:dyDescent="0.2">
      <c r="E531" s="100"/>
      <c r="F531" s="100"/>
    </row>
    <row r="532" spans="2:11" x14ac:dyDescent="0.2">
      <c r="B532" s="103"/>
      <c r="C532" s="103"/>
      <c r="E532" s="101"/>
      <c r="F532" s="101"/>
      <c r="G532" s="102"/>
      <c r="H532" s="102"/>
      <c r="I532" s="102"/>
      <c r="J532" s="102"/>
    </row>
    <row r="533" spans="2:11" x14ac:dyDescent="0.2">
      <c r="B533" s="103"/>
      <c r="C533" s="103"/>
      <c r="E533" s="101"/>
      <c r="F533" s="101"/>
      <c r="G533" s="102"/>
      <c r="H533" s="102"/>
      <c r="I533" s="102"/>
      <c r="J533" s="102"/>
    </row>
    <row r="534" spans="2:11" x14ac:dyDescent="0.2">
      <c r="B534" s="103"/>
      <c r="C534" s="103"/>
      <c r="E534" s="101"/>
      <c r="F534" s="101"/>
      <c r="G534" s="102"/>
      <c r="H534" s="102"/>
      <c r="I534" s="102"/>
      <c r="J534" s="102"/>
      <c r="K534" s="102"/>
    </row>
    <row r="535" spans="2:11" x14ac:dyDescent="0.2">
      <c r="B535" s="103"/>
      <c r="C535" s="103"/>
      <c r="E535" s="101"/>
      <c r="F535" s="101"/>
      <c r="G535" s="102"/>
      <c r="H535" s="102"/>
      <c r="I535" s="102"/>
      <c r="J535" s="102"/>
    </row>
    <row r="536" spans="2:11" x14ac:dyDescent="0.2">
      <c r="B536" s="103"/>
      <c r="C536" s="103"/>
      <c r="E536" s="101"/>
      <c r="F536" s="101"/>
      <c r="G536" s="102"/>
      <c r="H536" s="102"/>
      <c r="I536" s="102"/>
      <c r="J536" s="102"/>
    </row>
    <row r="537" spans="2:11" x14ac:dyDescent="0.2">
      <c r="B537" s="103"/>
      <c r="C537" s="103"/>
      <c r="E537" s="101"/>
      <c r="F537" s="101"/>
      <c r="G537" s="102"/>
      <c r="H537" s="102"/>
      <c r="I537" s="102"/>
      <c r="J537" s="102"/>
      <c r="K537" s="102"/>
    </row>
    <row r="538" spans="2:11" x14ac:dyDescent="0.2">
      <c r="B538" s="98"/>
      <c r="C538" s="98"/>
      <c r="E538" s="100"/>
      <c r="F538" s="100"/>
    </row>
    <row r="539" spans="2:11" x14ac:dyDescent="0.2">
      <c r="B539" s="103"/>
      <c r="C539" s="103"/>
      <c r="E539" s="101"/>
      <c r="F539" s="101"/>
      <c r="G539" s="102"/>
      <c r="H539" s="102"/>
      <c r="I539" s="102"/>
      <c r="J539" s="102"/>
    </row>
    <row r="540" spans="2:11" x14ac:dyDescent="0.2">
      <c r="B540" s="98"/>
      <c r="C540" s="98"/>
      <c r="E540" s="100"/>
      <c r="F540" s="100"/>
    </row>
    <row r="541" spans="2:11" x14ac:dyDescent="0.2">
      <c r="B541" s="98"/>
      <c r="C541" s="98"/>
      <c r="E541" s="101"/>
      <c r="F541" s="101"/>
      <c r="G541" s="102"/>
      <c r="H541" s="102"/>
      <c r="I541" s="102"/>
      <c r="J541" s="102"/>
      <c r="K541" s="102"/>
    </row>
    <row r="542" spans="2:11" x14ac:dyDescent="0.2">
      <c r="B542" s="98"/>
      <c r="C542" s="98"/>
      <c r="E542" s="101"/>
      <c r="F542" s="101"/>
      <c r="G542" s="102"/>
      <c r="H542" s="102"/>
      <c r="I542" s="102"/>
      <c r="J542" s="102"/>
      <c r="K542" s="102"/>
    </row>
    <row r="543" spans="2:11" x14ac:dyDescent="0.2">
      <c r="B543" s="103"/>
      <c r="C543" s="103"/>
      <c r="E543" s="101"/>
      <c r="F543" s="101"/>
      <c r="G543" s="102"/>
      <c r="H543" s="102"/>
      <c r="I543" s="102"/>
      <c r="J543" s="102"/>
    </row>
    <row r="544" spans="2:11" x14ac:dyDescent="0.2">
      <c r="B544" s="98"/>
      <c r="C544" s="98"/>
      <c r="E544" s="100"/>
      <c r="F544" s="100"/>
    </row>
    <row r="545" spans="2:11" x14ac:dyDescent="0.2">
      <c r="B545" s="98"/>
      <c r="C545" s="98"/>
      <c r="E545" s="100"/>
      <c r="F545" s="100"/>
    </row>
    <row r="546" spans="2:11" x14ac:dyDescent="0.2">
      <c r="B546" s="98"/>
      <c r="C546" s="98"/>
      <c r="E546" s="100"/>
      <c r="F546" s="100"/>
    </row>
    <row r="547" spans="2:11" x14ac:dyDescent="0.2">
      <c r="B547" s="98"/>
      <c r="C547" s="98"/>
      <c r="E547" s="100"/>
      <c r="F547" s="100"/>
    </row>
    <row r="548" spans="2:11" x14ac:dyDescent="0.2">
      <c r="B548" s="98"/>
      <c r="C548" s="98"/>
      <c r="E548" s="101"/>
      <c r="F548" s="101"/>
      <c r="G548" s="102"/>
      <c r="H548" s="102"/>
      <c r="I548" s="102"/>
      <c r="J548" s="102"/>
      <c r="K548" s="102"/>
    </row>
    <row r="549" spans="2:11" x14ac:dyDescent="0.2">
      <c r="B549" s="103"/>
      <c r="C549" s="103"/>
      <c r="E549" s="101"/>
      <c r="F549" s="101"/>
      <c r="G549" s="102"/>
      <c r="H549" s="102"/>
      <c r="I549" s="102"/>
      <c r="J549" s="102"/>
    </row>
    <row r="550" spans="2:11" x14ac:dyDescent="0.2">
      <c r="B550" s="98"/>
      <c r="C550" s="98"/>
      <c r="E550" s="100"/>
      <c r="F550" s="100"/>
    </row>
    <row r="551" spans="2:11" x14ac:dyDescent="0.2">
      <c r="B551" s="98"/>
      <c r="C551" s="98"/>
      <c r="E551" s="101"/>
      <c r="F551" s="101"/>
      <c r="G551" s="102"/>
      <c r="H551" s="102"/>
      <c r="I551" s="102"/>
      <c r="J551" s="102"/>
      <c r="K551" s="102"/>
    </row>
    <row r="552" spans="2:11" x14ac:dyDescent="0.2">
      <c r="B552" s="103"/>
      <c r="C552" s="103"/>
      <c r="E552" s="101"/>
      <c r="F552" s="101"/>
      <c r="G552" s="102"/>
      <c r="H552" s="102"/>
      <c r="I552" s="102"/>
      <c r="J552" s="102"/>
    </row>
    <row r="553" spans="2:11" x14ac:dyDescent="0.2">
      <c r="B553" s="98"/>
      <c r="C553" s="98"/>
      <c r="E553" s="100"/>
      <c r="F553" s="100"/>
    </row>
    <row r="554" spans="2:11" x14ac:dyDescent="0.2">
      <c r="B554" s="98"/>
      <c r="C554" s="98"/>
      <c r="E554" s="101"/>
      <c r="F554" s="101"/>
      <c r="G554" s="102"/>
      <c r="H554" s="102"/>
      <c r="I554" s="102"/>
      <c r="J554" s="102"/>
      <c r="K554" s="102"/>
    </row>
    <row r="555" spans="2:11" x14ac:dyDescent="0.2">
      <c r="B555" s="98"/>
      <c r="C555" s="98"/>
      <c r="E555" s="100"/>
      <c r="F555" s="100"/>
    </row>
    <row r="556" spans="2:11" x14ac:dyDescent="0.2">
      <c r="B556" s="103"/>
      <c r="C556" s="103"/>
      <c r="E556" s="101"/>
      <c r="F556" s="101"/>
      <c r="G556" s="102"/>
      <c r="H556" s="102"/>
      <c r="I556" s="102"/>
      <c r="J556" s="102"/>
    </row>
    <row r="557" spans="2:11" x14ac:dyDescent="0.2">
      <c r="B557" s="103"/>
      <c r="C557" s="103"/>
      <c r="E557" s="101"/>
      <c r="F557" s="101"/>
      <c r="G557" s="102"/>
      <c r="H557" s="102"/>
      <c r="I557" s="102"/>
      <c r="J557" s="102"/>
    </row>
    <row r="558" spans="2:11" x14ac:dyDescent="0.2">
      <c r="B558" s="98"/>
      <c r="C558" s="98"/>
      <c r="E558" s="101"/>
      <c r="F558" s="101"/>
      <c r="G558" s="102"/>
      <c r="H558" s="102"/>
      <c r="I558" s="102"/>
      <c r="J558" s="102"/>
      <c r="K558" s="102"/>
    </row>
    <row r="559" spans="2:11" x14ac:dyDescent="0.2">
      <c r="B559" s="98"/>
      <c r="C559" s="98"/>
      <c r="E559" s="100"/>
      <c r="F559" s="100"/>
    </row>
    <row r="560" spans="2:11" x14ac:dyDescent="0.2">
      <c r="B560" s="98"/>
      <c r="C560" s="98"/>
      <c r="E560" s="100"/>
      <c r="F560" s="100"/>
    </row>
    <row r="561" spans="2:11" x14ac:dyDescent="0.2">
      <c r="B561" s="98"/>
      <c r="C561" s="98"/>
      <c r="E561" s="101"/>
      <c r="F561" s="101"/>
      <c r="G561" s="102"/>
      <c r="H561" s="102"/>
      <c r="I561" s="102"/>
      <c r="J561" s="102"/>
      <c r="K561" s="102"/>
    </row>
    <row r="562" spans="2:11" x14ac:dyDescent="0.2">
      <c r="B562" s="98"/>
      <c r="C562" s="98"/>
      <c r="E562" s="100"/>
      <c r="F562" s="100"/>
    </row>
    <row r="563" spans="2:11" x14ac:dyDescent="0.2">
      <c r="B563" s="103"/>
      <c r="C563" s="103"/>
      <c r="E563" s="101"/>
      <c r="F563" s="101"/>
      <c r="G563" s="102"/>
      <c r="H563" s="102"/>
      <c r="I563" s="102"/>
      <c r="J563" s="102"/>
      <c r="K563" s="102"/>
    </row>
    <row r="564" spans="2:11" x14ac:dyDescent="0.2">
      <c r="B564" s="98"/>
      <c r="C564" s="98"/>
      <c r="E564" s="100"/>
      <c r="F564" s="100"/>
    </row>
    <row r="565" spans="2:11" x14ac:dyDescent="0.2">
      <c r="B565" s="98"/>
      <c r="C565" s="98"/>
      <c r="E565" s="100"/>
      <c r="F565" s="100"/>
    </row>
    <row r="566" spans="2:11" x14ac:dyDescent="0.2">
      <c r="B566" s="103"/>
      <c r="C566" s="103"/>
      <c r="E566" s="101"/>
      <c r="F566" s="101"/>
      <c r="G566" s="102"/>
      <c r="H566" s="102"/>
      <c r="I566" s="102"/>
      <c r="J566" s="102"/>
    </row>
    <row r="567" spans="2:11" x14ac:dyDescent="0.2">
      <c r="B567" s="98"/>
      <c r="C567" s="98"/>
      <c r="E567" s="101"/>
      <c r="F567" s="101"/>
      <c r="G567" s="102"/>
      <c r="H567" s="102"/>
      <c r="I567" s="102"/>
      <c r="J567" s="102"/>
      <c r="K567" s="102"/>
    </row>
    <row r="568" spans="2:11" x14ac:dyDescent="0.2">
      <c r="B568" s="98"/>
      <c r="C568" s="98"/>
      <c r="E568" s="101"/>
      <c r="F568" s="101"/>
      <c r="G568" s="102"/>
      <c r="H568" s="102"/>
      <c r="I568" s="102"/>
      <c r="J568" s="102"/>
      <c r="K568" s="102"/>
    </row>
    <row r="569" spans="2:11" x14ac:dyDescent="0.2">
      <c r="B569" s="103"/>
      <c r="C569" s="103"/>
      <c r="E569" s="101"/>
      <c r="F569" s="101"/>
      <c r="G569" s="102"/>
      <c r="H569" s="102"/>
      <c r="I569" s="102"/>
      <c r="J569" s="102"/>
    </row>
    <row r="570" spans="2:11" x14ac:dyDescent="0.2">
      <c r="B570" s="98"/>
      <c r="C570" s="98"/>
      <c r="E570" s="100"/>
      <c r="F570" s="100"/>
    </row>
    <row r="571" spans="2:11" x14ac:dyDescent="0.2">
      <c r="B571" s="98"/>
      <c r="C571" s="98"/>
      <c r="E571" s="100"/>
      <c r="F571" s="100"/>
    </row>
    <row r="572" spans="2:11" x14ac:dyDescent="0.2">
      <c r="B572" s="98"/>
      <c r="C572" s="98"/>
      <c r="E572" s="100"/>
      <c r="F572" s="100"/>
    </row>
    <row r="573" spans="2:11" x14ac:dyDescent="0.2">
      <c r="B573" s="103"/>
      <c r="C573" s="103"/>
      <c r="E573" s="101"/>
      <c r="F573" s="101"/>
      <c r="G573" s="102"/>
      <c r="H573" s="102"/>
      <c r="I573" s="102"/>
      <c r="J573" s="102"/>
      <c r="K573" s="102"/>
    </row>
    <row r="574" spans="2:11" x14ac:dyDescent="0.2">
      <c r="B574" s="98"/>
      <c r="C574" s="98"/>
      <c r="E574" s="100"/>
      <c r="F574" s="100"/>
    </row>
    <row r="575" spans="2:11" x14ac:dyDescent="0.2">
      <c r="B575" s="98"/>
      <c r="C575" s="98"/>
      <c r="E575" s="101"/>
      <c r="F575" s="101"/>
      <c r="G575" s="102"/>
      <c r="H575" s="102"/>
      <c r="I575" s="102"/>
      <c r="J575" s="102"/>
      <c r="K575" s="102"/>
    </row>
    <row r="576" spans="2:11" x14ac:dyDescent="0.2">
      <c r="B576" s="103"/>
      <c r="C576" s="103"/>
      <c r="E576" s="101"/>
      <c r="F576" s="101"/>
      <c r="G576" s="102"/>
      <c r="H576" s="102"/>
      <c r="I576" s="102"/>
      <c r="J576" s="102"/>
    </row>
    <row r="577" spans="2:11" x14ac:dyDescent="0.2">
      <c r="B577" s="98"/>
      <c r="C577" s="98"/>
      <c r="E577" s="101"/>
      <c r="F577" s="101"/>
      <c r="G577" s="102"/>
      <c r="H577" s="102"/>
      <c r="I577" s="102"/>
      <c r="J577" s="102"/>
      <c r="K577" s="102"/>
    </row>
    <row r="578" spans="2:11" x14ac:dyDescent="0.2">
      <c r="B578" s="103"/>
      <c r="C578" s="103"/>
      <c r="E578" s="101"/>
      <c r="F578" s="101"/>
      <c r="G578" s="102"/>
      <c r="H578" s="102"/>
      <c r="I578" s="102"/>
      <c r="J578" s="102"/>
    </row>
    <row r="579" spans="2:11" x14ac:dyDescent="0.2">
      <c r="B579" s="98"/>
      <c r="C579" s="98"/>
      <c r="E579" s="100"/>
      <c r="F579" s="100"/>
    </row>
    <row r="580" spans="2:11" x14ac:dyDescent="0.2">
      <c r="B580" s="98"/>
      <c r="C580" s="98"/>
      <c r="E580" s="100"/>
      <c r="F580" s="100"/>
    </row>
    <row r="581" spans="2:11" x14ac:dyDescent="0.2">
      <c r="B581" s="98"/>
      <c r="C581" s="98"/>
      <c r="E581" s="100"/>
      <c r="F581" s="100"/>
    </row>
    <row r="582" spans="2:11" x14ac:dyDescent="0.2">
      <c r="B582" s="103"/>
      <c r="C582" s="103"/>
      <c r="E582" s="101"/>
      <c r="F582" s="101"/>
      <c r="G582" s="102"/>
      <c r="H582" s="102"/>
      <c r="I582" s="102"/>
      <c r="J582" s="102"/>
    </row>
    <row r="583" spans="2:11" x14ac:dyDescent="0.2">
      <c r="B583" s="103"/>
      <c r="C583" s="103"/>
      <c r="E583" s="101"/>
      <c r="F583" s="101"/>
      <c r="G583" s="102"/>
      <c r="H583" s="102"/>
      <c r="I583" s="102"/>
      <c r="J583" s="102"/>
    </row>
    <row r="584" spans="2:11" x14ac:dyDescent="0.2">
      <c r="B584" s="98"/>
      <c r="C584" s="98"/>
      <c r="E584" s="101"/>
      <c r="F584" s="101"/>
      <c r="G584" s="102"/>
      <c r="H584" s="102"/>
      <c r="I584" s="102"/>
      <c r="J584" s="102"/>
      <c r="K584" s="102"/>
    </row>
    <row r="585" spans="2:11" x14ac:dyDescent="0.2">
      <c r="B585" s="98"/>
      <c r="C585" s="98"/>
      <c r="E585" s="100"/>
      <c r="F585" s="100"/>
    </row>
    <row r="586" spans="2:11" x14ac:dyDescent="0.2">
      <c r="B586" s="98"/>
      <c r="C586" s="98"/>
      <c r="E586" s="100"/>
      <c r="F586" s="100"/>
    </row>
    <row r="587" spans="2:11" x14ac:dyDescent="0.2">
      <c r="B587" s="98"/>
      <c r="C587" s="98"/>
      <c r="E587" s="100"/>
      <c r="F587" s="100"/>
    </row>
    <row r="588" spans="2:11" x14ac:dyDescent="0.2">
      <c r="B588" s="103"/>
      <c r="C588" s="103"/>
      <c r="E588" s="101"/>
      <c r="F588" s="101"/>
      <c r="G588" s="102"/>
      <c r="H588" s="102"/>
      <c r="I588" s="102"/>
      <c r="J588" s="102"/>
    </row>
    <row r="589" spans="2:11" x14ac:dyDescent="0.2">
      <c r="B589" s="98"/>
      <c r="C589" s="98"/>
      <c r="E589" s="100"/>
      <c r="F589" s="100"/>
    </row>
    <row r="590" spans="2:11" x14ac:dyDescent="0.2">
      <c r="B590" s="103"/>
      <c r="C590" s="103"/>
      <c r="E590" s="101"/>
      <c r="F590" s="101"/>
      <c r="G590" s="102"/>
      <c r="H590" s="102"/>
      <c r="I590" s="102"/>
      <c r="J590" s="102"/>
      <c r="K590" s="102"/>
    </row>
    <row r="591" spans="2:11" x14ac:dyDescent="0.2">
      <c r="B591" s="98"/>
      <c r="C591" s="98"/>
      <c r="E591" s="100"/>
      <c r="F591" s="100"/>
    </row>
    <row r="592" spans="2:11" x14ac:dyDescent="0.2">
      <c r="B592" s="103"/>
      <c r="C592" s="103"/>
      <c r="E592" s="101"/>
      <c r="F592" s="101"/>
      <c r="G592" s="102"/>
      <c r="H592" s="102"/>
      <c r="I592" s="102"/>
      <c r="J592" s="102"/>
    </row>
    <row r="593" spans="2:11" x14ac:dyDescent="0.2">
      <c r="B593" s="98"/>
      <c r="C593" s="98"/>
      <c r="E593" s="101"/>
      <c r="F593" s="101"/>
      <c r="G593" s="102"/>
      <c r="H593" s="102"/>
      <c r="I593" s="102"/>
      <c r="J593" s="102"/>
      <c r="K593" s="102"/>
    </row>
    <row r="594" spans="2:11" x14ac:dyDescent="0.2">
      <c r="B594" s="98"/>
      <c r="C594" s="98"/>
      <c r="E594" s="100"/>
      <c r="F594" s="100"/>
    </row>
    <row r="595" spans="2:11" x14ac:dyDescent="0.2">
      <c r="B595" s="98"/>
      <c r="C595" s="98"/>
      <c r="E595" s="101"/>
      <c r="F595" s="101"/>
      <c r="G595" s="102"/>
      <c r="H595" s="102"/>
      <c r="I595" s="102"/>
      <c r="J595" s="102"/>
      <c r="K595" s="102"/>
    </row>
    <row r="596" spans="2:11" x14ac:dyDescent="0.2">
      <c r="B596" s="98"/>
      <c r="C596" s="98"/>
      <c r="E596" s="100"/>
      <c r="F596" s="100"/>
    </row>
    <row r="597" spans="2:11" x14ac:dyDescent="0.2">
      <c r="B597" s="98"/>
      <c r="C597" s="98"/>
      <c r="E597" s="100"/>
      <c r="F597" s="100"/>
    </row>
    <row r="598" spans="2:11" x14ac:dyDescent="0.2">
      <c r="B598" s="98"/>
      <c r="C598" s="98"/>
      <c r="E598" s="100"/>
      <c r="F598" s="100"/>
    </row>
    <row r="599" spans="2:11" x14ac:dyDescent="0.2">
      <c r="B599" s="103"/>
      <c r="C599" s="103"/>
      <c r="E599" s="101"/>
      <c r="F599" s="101"/>
      <c r="G599" s="102"/>
      <c r="H599" s="102"/>
      <c r="I599" s="102"/>
      <c r="J599" s="102"/>
      <c r="K599" s="102"/>
    </row>
    <row r="600" spans="2:11" x14ac:dyDescent="0.2">
      <c r="B600" s="98"/>
      <c r="C600" s="98"/>
      <c r="E600" s="101"/>
      <c r="F600" s="101"/>
      <c r="G600" s="102"/>
      <c r="H600" s="102"/>
      <c r="I600" s="102"/>
      <c r="J600" s="102"/>
      <c r="K600" s="102"/>
    </row>
    <row r="601" spans="2:11" x14ac:dyDescent="0.2">
      <c r="B601" s="98"/>
      <c r="C601" s="98"/>
      <c r="E601" s="100"/>
      <c r="F601" s="100"/>
    </row>
    <row r="602" spans="2:11" x14ac:dyDescent="0.2">
      <c r="B602" s="98"/>
      <c r="C602" s="98"/>
      <c r="E602" s="101"/>
      <c r="F602" s="101"/>
      <c r="G602" s="102"/>
      <c r="H602" s="102"/>
      <c r="I602" s="102"/>
      <c r="J602" s="102"/>
      <c r="K602" s="102"/>
    </row>
    <row r="603" spans="2:11" x14ac:dyDescent="0.2">
      <c r="B603" s="98"/>
      <c r="C603" s="98"/>
      <c r="E603" s="101"/>
      <c r="F603" s="101"/>
      <c r="G603" s="102"/>
      <c r="H603" s="102"/>
      <c r="I603" s="102"/>
      <c r="J603" s="102"/>
      <c r="K603" s="102"/>
    </row>
    <row r="604" spans="2:11" x14ac:dyDescent="0.2">
      <c r="B604" s="98"/>
      <c r="C604" s="98"/>
      <c r="E604" s="100"/>
      <c r="F604" s="100"/>
    </row>
    <row r="605" spans="2:11" x14ac:dyDescent="0.2">
      <c r="B605" s="103"/>
      <c r="C605" s="103"/>
      <c r="E605" s="101"/>
      <c r="F605" s="101"/>
      <c r="G605" s="102"/>
      <c r="H605" s="102"/>
      <c r="I605" s="102"/>
      <c r="J605" s="102"/>
    </row>
    <row r="606" spans="2:11" x14ac:dyDescent="0.2">
      <c r="B606" s="98"/>
      <c r="C606" s="98"/>
      <c r="E606" s="100"/>
      <c r="F606" s="100"/>
    </row>
    <row r="607" spans="2:11" x14ac:dyDescent="0.2">
      <c r="B607" s="98"/>
      <c r="C607" s="98"/>
      <c r="E607" s="100"/>
      <c r="F607" s="100"/>
    </row>
    <row r="608" spans="2:11" x14ac:dyDescent="0.2">
      <c r="B608" s="103"/>
      <c r="C608" s="103"/>
      <c r="E608" s="101"/>
      <c r="F608" s="101"/>
      <c r="G608" s="102"/>
      <c r="H608" s="102"/>
      <c r="I608" s="102"/>
      <c r="J608" s="102"/>
      <c r="K608" s="102"/>
    </row>
    <row r="609" spans="2:11" x14ac:dyDescent="0.2">
      <c r="B609" s="98"/>
      <c r="C609" s="98"/>
      <c r="E609" s="100"/>
      <c r="F609" s="100"/>
    </row>
    <row r="610" spans="2:11" x14ac:dyDescent="0.2">
      <c r="B610" s="103"/>
      <c r="C610" s="103"/>
      <c r="E610" s="102"/>
      <c r="F610" s="102"/>
      <c r="G610" s="102"/>
      <c r="H610" s="102"/>
      <c r="I610" s="102"/>
      <c r="J610" s="102"/>
    </row>
    <row r="611" spans="2:11" x14ac:dyDescent="0.2">
      <c r="B611" s="98"/>
      <c r="C611" s="98"/>
      <c r="E611" s="101"/>
      <c r="F611" s="101"/>
      <c r="G611" s="102"/>
      <c r="H611" s="102"/>
      <c r="I611" s="102"/>
      <c r="J611" s="102"/>
      <c r="K611" s="102"/>
    </row>
    <row r="612" spans="2:11" x14ac:dyDescent="0.2">
      <c r="B612" s="98"/>
      <c r="C612" s="98"/>
      <c r="E612" s="101"/>
      <c r="F612" s="101"/>
      <c r="G612" s="102"/>
      <c r="H612" s="102"/>
      <c r="I612" s="102"/>
      <c r="J612" s="102"/>
      <c r="K612" s="102"/>
    </row>
    <row r="613" spans="2:11" x14ac:dyDescent="0.2">
      <c r="B613" s="98"/>
      <c r="C613" s="98"/>
      <c r="E613" s="101"/>
      <c r="F613" s="101"/>
      <c r="G613" s="102"/>
      <c r="H613" s="102"/>
      <c r="I613" s="102"/>
      <c r="J613" s="102"/>
      <c r="K613" s="102"/>
    </row>
    <row r="614" spans="2:11" x14ac:dyDescent="0.2">
      <c r="B614" s="103"/>
      <c r="C614" s="103"/>
      <c r="E614" s="101"/>
      <c r="F614" s="101"/>
      <c r="G614" s="102"/>
      <c r="H614" s="102"/>
      <c r="I614" s="102"/>
      <c r="J614" s="102"/>
      <c r="K614" s="102"/>
    </row>
    <row r="615" spans="2:11" x14ac:dyDescent="0.2">
      <c r="B615" s="103"/>
      <c r="C615" s="103"/>
      <c r="E615" s="101"/>
      <c r="F615" s="101"/>
      <c r="G615" s="102"/>
      <c r="H615" s="102"/>
      <c r="I615" s="102"/>
      <c r="J615" s="102"/>
      <c r="K615" s="102"/>
    </row>
    <row r="616" spans="2:11" x14ac:dyDescent="0.2">
      <c r="B616" s="98"/>
      <c r="C616" s="98"/>
      <c r="E616" s="100"/>
      <c r="F616" s="100"/>
    </row>
    <row r="617" spans="2:11" x14ac:dyDescent="0.2">
      <c r="B617" s="103"/>
      <c r="C617" s="103"/>
      <c r="E617" s="101"/>
      <c r="F617" s="101"/>
      <c r="G617" s="102"/>
      <c r="H617" s="102"/>
      <c r="I617" s="102"/>
      <c r="J617" s="102"/>
      <c r="K617" s="102"/>
    </row>
    <row r="618" spans="2:11" x14ac:dyDescent="0.2">
      <c r="B618" s="103"/>
      <c r="C618" s="103"/>
      <c r="E618" s="101"/>
      <c r="F618" s="101"/>
      <c r="G618" s="102"/>
      <c r="H618" s="102"/>
      <c r="I618" s="102"/>
      <c r="J618" s="102"/>
    </row>
    <row r="619" spans="2:11" x14ac:dyDescent="0.2">
      <c r="B619" s="98"/>
      <c r="C619" s="98"/>
      <c r="E619" s="101"/>
      <c r="F619" s="101"/>
      <c r="G619" s="102"/>
      <c r="H619" s="102"/>
      <c r="I619" s="102"/>
      <c r="J619" s="102"/>
      <c r="K619" s="102"/>
    </row>
    <row r="620" spans="2:11" x14ac:dyDescent="0.2">
      <c r="B620" s="98"/>
      <c r="C620" s="98"/>
      <c r="E620" s="100"/>
      <c r="F620" s="100"/>
    </row>
    <row r="621" spans="2:11" x14ac:dyDescent="0.2">
      <c r="B621" s="98"/>
      <c r="C621" s="98"/>
    </row>
    <row r="622" spans="2:11" x14ac:dyDescent="0.2">
      <c r="B622" s="98"/>
      <c r="C622" s="98"/>
      <c r="E622" s="101"/>
      <c r="F622" s="101"/>
      <c r="G622" s="102"/>
      <c r="H622" s="102"/>
      <c r="I622" s="102"/>
      <c r="J622" s="102"/>
      <c r="K622" s="102"/>
    </row>
    <row r="623" spans="2:11" x14ac:dyDescent="0.2">
      <c r="B623" s="103"/>
      <c r="C623" s="103"/>
      <c r="E623" s="101"/>
      <c r="F623" s="101"/>
      <c r="G623" s="102"/>
      <c r="H623" s="102"/>
      <c r="I623" s="102"/>
      <c r="J623" s="102"/>
      <c r="K623" s="102"/>
    </row>
    <row r="624" spans="2:11" x14ac:dyDescent="0.2">
      <c r="B624" s="98"/>
      <c r="C624" s="98"/>
      <c r="E624" s="101"/>
      <c r="F624" s="101"/>
      <c r="G624" s="102"/>
      <c r="H624" s="102"/>
      <c r="I624" s="102"/>
      <c r="J624" s="102"/>
      <c r="K624" s="102"/>
    </row>
    <row r="625" spans="2:11" x14ac:dyDescent="0.2">
      <c r="E625" s="101"/>
      <c r="F625" s="101"/>
      <c r="G625" s="102"/>
      <c r="H625" s="102"/>
      <c r="I625" s="102"/>
      <c r="J625" s="102"/>
      <c r="K625" s="102"/>
    </row>
    <row r="626" spans="2:11" x14ac:dyDescent="0.2">
      <c r="B626" s="103"/>
      <c r="C626" s="103"/>
      <c r="E626" s="101"/>
      <c r="F626" s="101"/>
      <c r="G626" s="102"/>
      <c r="H626" s="102"/>
      <c r="I626" s="102"/>
      <c r="J626" s="102"/>
      <c r="K626" s="102"/>
    </row>
    <row r="627" spans="2:11" x14ac:dyDescent="0.2">
      <c r="B627" s="103"/>
      <c r="C627" s="103"/>
      <c r="E627" s="101"/>
      <c r="F627" s="101"/>
      <c r="G627" s="102"/>
      <c r="H627" s="102"/>
      <c r="I627" s="102"/>
      <c r="J627" s="102"/>
    </row>
    <row r="628" spans="2:11" x14ac:dyDescent="0.2">
      <c r="B628" s="103"/>
      <c r="C628" s="103"/>
      <c r="E628" s="101"/>
      <c r="F628" s="101"/>
      <c r="G628" s="102"/>
      <c r="H628" s="102"/>
      <c r="I628" s="102"/>
      <c r="J628" s="102"/>
      <c r="K628" s="102"/>
    </row>
    <row r="629" spans="2:11" x14ac:dyDescent="0.2">
      <c r="B629" s="103"/>
      <c r="C629" s="103"/>
      <c r="E629" s="101"/>
      <c r="F629" s="101"/>
      <c r="G629" s="102"/>
      <c r="H629" s="102"/>
      <c r="I629" s="102"/>
      <c r="J629" s="102"/>
    </row>
    <row r="630" spans="2:11" x14ac:dyDescent="0.2">
      <c r="B630" s="103"/>
      <c r="C630" s="103"/>
      <c r="E630" s="101"/>
      <c r="F630" s="101"/>
      <c r="G630" s="102"/>
      <c r="H630" s="102"/>
      <c r="I630" s="102"/>
      <c r="J630" s="102"/>
      <c r="K630" s="102"/>
    </row>
    <row r="631" spans="2:11" x14ac:dyDescent="0.2">
      <c r="B631" s="98"/>
      <c r="C631" s="98"/>
      <c r="E631" s="100"/>
      <c r="F631" s="100"/>
    </row>
    <row r="632" spans="2:11" x14ac:dyDescent="0.2">
      <c r="B632" s="103"/>
      <c r="C632" s="103"/>
      <c r="E632" s="102"/>
      <c r="F632" s="102"/>
      <c r="G632" s="102"/>
      <c r="H632" s="102"/>
      <c r="I632" s="102"/>
      <c r="J632" s="102"/>
    </row>
    <row r="633" spans="2:11" x14ac:dyDescent="0.2">
      <c r="B633" s="98"/>
      <c r="C633" s="98"/>
      <c r="E633" s="101"/>
      <c r="F633" s="101"/>
      <c r="G633" s="102"/>
      <c r="H633" s="102"/>
      <c r="I633" s="102"/>
      <c r="J633" s="102"/>
      <c r="K633" s="102"/>
    </row>
    <row r="634" spans="2:11" x14ac:dyDescent="0.2">
      <c r="B634" s="103"/>
      <c r="C634" s="103"/>
      <c r="E634" s="101"/>
      <c r="F634" s="101"/>
      <c r="G634" s="102"/>
      <c r="H634" s="102"/>
      <c r="I634" s="102"/>
      <c r="J634" s="102"/>
      <c r="K634" s="102"/>
    </row>
    <row r="635" spans="2:11" x14ac:dyDescent="0.2">
      <c r="B635" s="98"/>
      <c r="C635" s="98"/>
      <c r="E635" s="101"/>
      <c r="F635" s="101"/>
      <c r="G635" s="102"/>
      <c r="H635" s="102"/>
      <c r="I635" s="102"/>
      <c r="J635" s="102"/>
      <c r="K635" s="102"/>
    </row>
    <row r="636" spans="2:11" x14ac:dyDescent="0.2">
      <c r="E636" s="101"/>
      <c r="F636" s="101"/>
      <c r="G636" s="102"/>
      <c r="H636" s="102"/>
      <c r="I636" s="102"/>
      <c r="J636" s="102"/>
      <c r="K636" s="102"/>
    </row>
    <row r="637" spans="2:11" x14ac:dyDescent="0.2">
      <c r="B637" s="103"/>
      <c r="C637" s="103"/>
      <c r="E637" s="101"/>
      <c r="F637" s="101"/>
      <c r="G637" s="102"/>
      <c r="H637" s="102"/>
      <c r="I637" s="102"/>
      <c r="J637" s="102"/>
    </row>
    <row r="638" spans="2:11" x14ac:dyDescent="0.2">
      <c r="B638" s="103"/>
      <c r="C638" s="103"/>
      <c r="E638" s="102"/>
      <c r="F638" s="102"/>
      <c r="G638" s="102"/>
      <c r="H638" s="102"/>
      <c r="I638" s="102"/>
      <c r="J638" s="102"/>
      <c r="K638" s="102"/>
    </row>
    <row r="639" spans="2:11" x14ac:dyDescent="0.2">
      <c r="B639" s="103"/>
      <c r="C639" s="103"/>
      <c r="E639" s="102"/>
      <c r="F639" s="102"/>
      <c r="G639" s="102"/>
      <c r="H639" s="102"/>
      <c r="I639" s="102"/>
      <c r="J639" s="102"/>
    </row>
    <row r="640" spans="2:11" x14ac:dyDescent="0.2">
      <c r="B640" s="103"/>
      <c r="C640" s="103"/>
      <c r="E640" s="102"/>
      <c r="F640" s="102"/>
      <c r="G640" s="102"/>
      <c r="H640" s="102"/>
      <c r="I640" s="102"/>
      <c r="J640" s="102"/>
    </row>
    <row r="641" spans="2:10" x14ac:dyDescent="0.2">
      <c r="B641" s="103"/>
      <c r="C641" s="103"/>
      <c r="E641" s="102"/>
      <c r="F641" s="102"/>
      <c r="G641" s="102"/>
      <c r="H641" s="102"/>
      <c r="I641" s="102"/>
      <c r="J641" s="102"/>
    </row>
    <row r="642" spans="2:10" x14ac:dyDescent="0.2">
      <c r="B642" s="98"/>
      <c r="C642" s="98"/>
    </row>
    <row r="643" spans="2:10" x14ac:dyDescent="0.2">
      <c r="B643" s="103"/>
      <c r="C643" s="103"/>
      <c r="E643" s="102"/>
      <c r="F643" s="102"/>
      <c r="G643" s="102"/>
      <c r="H643" s="102"/>
      <c r="I643" s="102"/>
      <c r="J643" s="102"/>
    </row>
    <row r="644" spans="2:10" x14ac:dyDescent="0.2">
      <c r="B644" s="98"/>
      <c r="C644" s="98"/>
    </row>
    <row r="645" spans="2:10" x14ac:dyDescent="0.2">
      <c r="B645" s="103"/>
      <c r="C645" s="103"/>
      <c r="E645" s="102"/>
      <c r="F645" s="102"/>
      <c r="G645" s="102"/>
      <c r="H645" s="102"/>
      <c r="I645" s="102"/>
      <c r="J645" s="102"/>
    </row>
    <row r="646" spans="2:10" x14ac:dyDescent="0.2">
      <c r="B646" s="98"/>
      <c r="C646" s="98"/>
    </row>
    <row r="648" spans="2:10" x14ac:dyDescent="0.2">
      <c r="B648" s="103"/>
      <c r="C648" s="103"/>
      <c r="E648" s="102"/>
      <c r="F648" s="102"/>
      <c r="G648" s="102"/>
      <c r="H648" s="102"/>
      <c r="I648" s="102"/>
      <c r="J648" s="102"/>
    </row>
    <row r="649" spans="2:10" x14ac:dyDescent="0.2">
      <c r="B649" s="103"/>
      <c r="C649" s="103"/>
      <c r="E649" s="102"/>
      <c r="F649" s="102"/>
      <c r="G649" s="102"/>
      <c r="H649" s="102"/>
      <c r="I649" s="102"/>
      <c r="J649" s="102"/>
    </row>
    <row r="650" spans="2:10" x14ac:dyDescent="0.2">
      <c r="B650" s="103"/>
      <c r="C650" s="103"/>
      <c r="E650" s="102"/>
      <c r="F650" s="102"/>
      <c r="G650" s="102"/>
      <c r="H650" s="102"/>
      <c r="I650" s="102"/>
      <c r="J650" s="102"/>
    </row>
    <row r="651" spans="2:10" x14ac:dyDescent="0.2">
      <c r="B651" s="103"/>
      <c r="C651" s="103"/>
      <c r="E651" s="102"/>
      <c r="F651" s="102"/>
      <c r="G651" s="102"/>
      <c r="H651" s="102"/>
      <c r="I651" s="102"/>
      <c r="J651" s="102"/>
    </row>
    <row r="652" spans="2:10" x14ac:dyDescent="0.2">
      <c r="B652" s="98"/>
      <c r="C652" s="98"/>
    </row>
    <row r="653" spans="2:10" x14ac:dyDescent="0.2">
      <c r="B653" s="104"/>
      <c r="C653" s="104"/>
      <c r="E653" s="102"/>
      <c r="F653" s="102"/>
      <c r="G653" s="102"/>
      <c r="H653" s="102"/>
      <c r="I653" s="102"/>
      <c r="J653" s="102"/>
    </row>
  </sheetData>
  <mergeCells count="11">
    <mergeCell ref="B9:E11"/>
    <mergeCell ref="F9:F11"/>
    <mergeCell ref="G9:R10"/>
    <mergeCell ref="B12:D12"/>
    <mergeCell ref="B13:D13"/>
    <mergeCell ref="B2:R2"/>
    <mergeCell ref="B3:R3"/>
    <mergeCell ref="B4:R4"/>
    <mergeCell ref="B5:R5"/>
    <mergeCell ref="B6:R6"/>
    <mergeCell ref="B7:R7"/>
  </mergeCells>
  <printOptions horizontalCentered="1" verticalCentered="1"/>
  <pageMargins left="0.39370078740157483" right="0.39370078740157483" top="0.39370078740157483" bottom="0.39370078740157483" header="0" footer="0"/>
  <pageSetup fitToHeight="9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 2020</vt:lpstr>
      <vt:lpstr>'presup 2020'!Área_de_impresión</vt:lpstr>
      <vt:lpstr>'presup 2020'!Títulos_a_imprimir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2020-09-29T18:06:49Z</dcterms:created>
  <dcterms:modified xsi:type="dcterms:W3CDTF">2020-09-29T18:07:27Z</dcterms:modified>
</cp:coreProperties>
</file>