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ocuments\CUARTO TRIMESTRE 2021 JOSE 10 DE FEBRERO\INFORMACION ANUAL 2022\"/>
    </mc:Choice>
  </mc:AlternateContent>
  <bookViews>
    <workbookView xWindow="0" yWindow="0" windowWidth="28800" windowHeight="11730"/>
  </bookViews>
  <sheets>
    <sheet name="INICIATIVA P-LEY2022" sheetId="1" r:id="rId1"/>
  </sheets>
  <externalReferences>
    <externalReference r:id="rId2"/>
  </externalReferences>
  <definedNames>
    <definedName name="_xlnm.Print_Area" localSheetId="0">'INICIATIVA P-LEY2022'!$A$1:$Q$339</definedName>
    <definedName name="_xlnm.Print_Titles" localSheetId="0">'INICIATIVA P-LEY2022'!$1:$11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9" i="1" l="1"/>
  <c r="Q338" i="1"/>
  <c r="P338" i="1"/>
  <c r="O338" i="1"/>
  <c r="N338" i="1"/>
  <c r="M338" i="1"/>
  <c r="L338" i="1"/>
  <c r="K338" i="1"/>
  <c r="J338" i="1"/>
  <c r="I338" i="1"/>
  <c r="H338" i="1"/>
  <c r="G338" i="1"/>
  <c r="F338" i="1"/>
  <c r="Q337" i="1"/>
  <c r="Q336" i="1" s="1"/>
  <c r="P337" i="1"/>
  <c r="O337" i="1"/>
  <c r="O336" i="1" s="1"/>
  <c r="N337" i="1"/>
  <c r="M337" i="1"/>
  <c r="M336" i="1" s="1"/>
  <c r="L337" i="1"/>
  <c r="K337" i="1"/>
  <c r="K336" i="1" s="1"/>
  <c r="K311" i="1" s="1"/>
  <c r="J337" i="1"/>
  <c r="I337" i="1"/>
  <c r="I336" i="1" s="1"/>
  <c r="H337" i="1"/>
  <c r="G337" i="1"/>
  <c r="G336" i="1" s="1"/>
  <c r="F337" i="1"/>
  <c r="P336" i="1"/>
  <c r="N336" i="1"/>
  <c r="L336" i="1"/>
  <c r="J336" i="1"/>
  <c r="H336" i="1"/>
  <c r="F336" i="1"/>
  <c r="AD335" i="1"/>
  <c r="Q335" i="1"/>
  <c r="Q334" i="1" s="1"/>
  <c r="Q331" i="1" s="1"/>
  <c r="P335" i="1"/>
  <c r="O335" i="1"/>
  <c r="O334" i="1" s="1"/>
  <c r="O331" i="1" s="1"/>
  <c r="N335" i="1"/>
  <c r="M335" i="1"/>
  <c r="M334" i="1" s="1"/>
  <c r="M331" i="1" s="1"/>
  <c r="L335" i="1"/>
  <c r="K335" i="1"/>
  <c r="K334" i="1" s="1"/>
  <c r="K331" i="1" s="1"/>
  <c r="J335" i="1"/>
  <c r="I335" i="1"/>
  <c r="I334" i="1" s="1"/>
  <c r="I331" i="1" s="1"/>
  <c r="H335" i="1"/>
  <c r="G335" i="1"/>
  <c r="G334" i="1" s="1"/>
  <c r="G331" i="1" s="1"/>
  <c r="F335" i="1"/>
  <c r="E335" i="1"/>
  <c r="AJ334" i="1"/>
  <c r="AH334" i="1"/>
  <c r="R334" i="1"/>
  <c r="P334" i="1"/>
  <c r="N334" i="1"/>
  <c r="L334" i="1"/>
  <c r="J334" i="1"/>
  <c r="H334" i="1"/>
  <c r="F334" i="1"/>
  <c r="AF333" i="1"/>
  <c r="AD333" i="1"/>
  <c r="AE333" i="1" s="1"/>
  <c r="O333" i="1"/>
  <c r="N333" i="1"/>
  <c r="M333" i="1"/>
  <c r="L333" i="1"/>
  <c r="K333" i="1"/>
  <c r="J333" i="1"/>
  <c r="I333" i="1"/>
  <c r="H333" i="1"/>
  <c r="G333" i="1"/>
  <c r="F333" i="1"/>
  <c r="E333" i="1"/>
  <c r="AE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P331" i="1"/>
  <c r="N331" i="1"/>
  <c r="L331" i="1"/>
  <c r="J331" i="1"/>
  <c r="H331" i="1"/>
  <c r="F331" i="1"/>
  <c r="E330" i="1"/>
  <c r="AD329" i="1"/>
  <c r="E329" i="1"/>
  <c r="AF329" i="1" s="1"/>
  <c r="AE328" i="1"/>
  <c r="E328" i="1"/>
  <c r="AF328" i="1" s="1"/>
  <c r="AF327" i="1"/>
  <c r="E327" i="1"/>
  <c r="AE327" i="1" s="1"/>
  <c r="AE326" i="1"/>
  <c r="E326" i="1"/>
  <c r="AF326" i="1" s="1"/>
  <c r="AF325" i="1"/>
  <c r="AD325" i="1"/>
  <c r="AE325" i="1" s="1"/>
  <c r="E325" i="1"/>
  <c r="AF324" i="1"/>
  <c r="AD324" i="1"/>
  <c r="AE324" i="1" s="1"/>
  <c r="E324" i="1"/>
  <c r="AF323" i="1"/>
  <c r="AD323" i="1"/>
  <c r="AE323" i="1" s="1"/>
  <c r="E323" i="1"/>
  <c r="AF322" i="1"/>
  <c r="AD322" i="1"/>
  <c r="AE322" i="1" s="1"/>
  <c r="E322" i="1"/>
  <c r="AF321" i="1"/>
  <c r="AD321" i="1"/>
  <c r="AE321" i="1" s="1"/>
  <c r="E321" i="1"/>
  <c r="AF320" i="1"/>
  <c r="AD320" i="1"/>
  <c r="AE320" i="1" s="1"/>
  <c r="E320" i="1"/>
  <c r="AF319" i="1"/>
  <c r="AD319" i="1"/>
  <c r="AE319" i="1" s="1"/>
  <c r="E319" i="1"/>
  <c r="AF318" i="1"/>
  <c r="AD318" i="1"/>
  <c r="AE318" i="1" s="1"/>
  <c r="E318" i="1"/>
  <c r="E317" i="1"/>
  <c r="AD316" i="1"/>
  <c r="E316" i="1"/>
  <c r="AF316" i="1" s="1"/>
  <c r="E315" i="1"/>
  <c r="R314" i="1"/>
  <c r="R313" i="1" s="1"/>
  <c r="R312" i="1" s="1"/>
  <c r="R311" i="1" s="1"/>
  <c r="Q314" i="1"/>
  <c r="P314" i="1"/>
  <c r="P313" i="1" s="1"/>
  <c r="O314" i="1"/>
  <c r="N314" i="1"/>
  <c r="N313" i="1" s="1"/>
  <c r="N312" i="1" s="1"/>
  <c r="N311" i="1" s="1"/>
  <c r="M314" i="1"/>
  <c r="L314" i="1"/>
  <c r="L313" i="1" s="1"/>
  <c r="L312" i="1" s="1"/>
  <c r="L311" i="1" s="1"/>
  <c r="K314" i="1"/>
  <c r="J314" i="1"/>
  <c r="J313" i="1" s="1"/>
  <c r="J312" i="1" s="1"/>
  <c r="J311" i="1" s="1"/>
  <c r="I314" i="1"/>
  <c r="H314" i="1"/>
  <c r="H313" i="1" s="1"/>
  <c r="G314" i="1"/>
  <c r="F314" i="1"/>
  <c r="F313" i="1" s="1"/>
  <c r="F312" i="1" s="1"/>
  <c r="F311" i="1" s="1"/>
  <c r="Q313" i="1"/>
  <c r="Q312" i="1" s="1"/>
  <c r="O313" i="1"/>
  <c r="O312" i="1" s="1"/>
  <c r="M313" i="1"/>
  <c r="M312" i="1" s="1"/>
  <c r="K313" i="1"/>
  <c r="K312" i="1" s="1"/>
  <c r="I313" i="1"/>
  <c r="I312" i="1" s="1"/>
  <c r="G313" i="1"/>
  <c r="G312" i="1" s="1"/>
  <c r="P312" i="1"/>
  <c r="P311" i="1" s="1"/>
  <c r="H312" i="1"/>
  <c r="H311" i="1" s="1"/>
  <c r="O311" i="1"/>
  <c r="G311" i="1"/>
  <c r="E310" i="1"/>
  <c r="E309" i="1"/>
  <c r="AE308" i="1"/>
  <c r="E308" i="1"/>
  <c r="AF308" i="1" s="1"/>
  <c r="AE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AE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AE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AF304" i="1"/>
  <c r="AD304" i="1"/>
  <c r="AE304" i="1" s="1"/>
  <c r="E304" i="1"/>
  <c r="AE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AF302" i="1"/>
  <c r="AD302" i="1"/>
  <c r="AE302" i="1" s="1"/>
  <c r="E302" i="1"/>
  <c r="AE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AF300" i="1"/>
  <c r="AD300" i="1"/>
  <c r="AE300" i="1" s="1"/>
  <c r="E300" i="1"/>
  <c r="AF299" i="1"/>
  <c r="AD299" i="1"/>
  <c r="AE299" i="1" s="1"/>
  <c r="E299" i="1"/>
  <c r="AE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F297" i="1"/>
  <c r="AD297" i="1"/>
  <c r="AE297" i="1" s="1"/>
  <c r="E297" i="1"/>
  <c r="AE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F295" i="1"/>
  <c r="E295" i="1"/>
  <c r="AF295" i="1" s="1"/>
  <c r="N294" i="1"/>
  <c r="N289" i="1" s="1"/>
  <c r="K294" i="1"/>
  <c r="J294" i="1"/>
  <c r="J289" i="1" s="1"/>
  <c r="I294" i="1"/>
  <c r="H294" i="1"/>
  <c r="H289" i="1" s="1"/>
  <c r="H288" i="1" s="1"/>
  <c r="H287" i="1" s="1"/>
  <c r="G294" i="1"/>
  <c r="F294" i="1"/>
  <c r="E294" i="1"/>
  <c r="AF294" i="1" s="1"/>
  <c r="N293" i="1"/>
  <c r="K293" i="1"/>
  <c r="H293" i="1"/>
  <c r="G293" i="1"/>
  <c r="F293" i="1"/>
  <c r="E293" i="1"/>
  <c r="AF293" i="1" s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F292" i="1" s="1"/>
  <c r="AD291" i="1"/>
  <c r="Q291" i="1"/>
  <c r="P291" i="1"/>
  <c r="P289" i="1" s="1"/>
  <c r="P288" i="1" s="1"/>
  <c r="P287" i="1" s="1"/>
  <c r="N291" i="1"/>
  <c r="M291" i="1"/>
  <c r="L291" i="1"/>
  <c r="K291" i="1"/>
  <c r="J291" i="1"/>
  <c r="I291" i="1"/>
  <c r="H291" i="1"/>
  <c r="F291" i="1"/>
  <c r="E291" i="1"/>
  <c r="AF291" i="1" s="1"/>
  <c r="AD290" i="1"/>
  <c r="Q290" i="1"/>
  <c r="Q289" i="1" s="1"/>
  <c r="Q288" i="1" s="1"/>
  <c r="Q287" i="1" s="1"/>
  <c r="P290" i="1"/>
  <c r="O290" i="1"/>
  <c r="O289" i="1" s="1"/>
  <c r="O288" i="1" s="1"/>
  <c r="O287" i="1" s="1"/>
  <c r="N290" i="1"/>
  <c r="M290" i="1"/>
  <c r="M289" i="1" s="1"/>
  <c r="M288" i="1" s="1"/>
  <c r="L290" i="1"/>
  <c r="K290" i="1"/>
  <c r="K289" i="1" s="1"/>
  <c r="K288" i="1" s="1"/>
  <c r="K287" i="1" s="1"/>
  <c r="J290" i="1"/>
  <c r="I290" i="1"/>
  <c r="I289" i="1" s="1"/>
  <c r="I288" i="1" s="1"/>
  <c r="H290" i="1"/>
  <c r="G290" i="1"/>
  <c r="G289" i="1" s="1"/>
  <c r="G288" i="1" s="1"/>
  <c r="G287" i="1" s="1"/>
  <c r="F290" i="1"/>
  <c r="E290" i="1"/>
  <c r="E289" i="1" s="1"/>
  <c r="E288" i="1" s="1"/>
  <c r="AE288" i="1" s="1"/>
  <c r="L289" i="1"/>
  <c r="F289" i="1"/>
  <c r="L288" i="1"/>
  <c r="L287" i="1" s="1"/>
  <c r="M287" i="1"/>
  <c r="I287" i="1"/>
  <c r="E287" i="1"/>
  <c r="AE287" i="1" s="1"/>
  <c r="AD286" i="1"/>
  <c r="E286" i="1"/>
  <c r="AF286" i="1" s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E285" i="1" s="1"/>
  <c r="AD284" i="1"/>
  <c r="E284" i="1"/>
  <c r="AF284" i="1" s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AE283" i="1" s="1"/>
  <c r="AD282" i="1"/>
  <c r="E282" i="1"/>
  <c r="AF282" i="1" s="1"/>
  <c r="Q281" i="1"/>
  <c r="Q280" i="1" s="1"/>
  <c r="P281" i="1"/>
  <c r="O281" i="1"/>
  <c r="O280" i="1" s="1"/>
  <c r="O249" i="1" s="1"/>
  <c r="O248" i="1" s="1"/>
  <c r="N281" i="1"/>
  <c r="M281" i="1"/>
  <c r="M280" i="1" s="1"/>
  <c r="L281" i="1"/>
  <c r="K281" i="1"/>
  <c r="K280" i="1" s="1"/>
  <c r="K249" i="1" s="1"/>
  <c r="K248" i="1" s="1"/>
  <c r="J281" i="1"/>
  <c r="I281" i="1"/>
  <c r="I280" i="1" s="1"/>
  <c r="H281" i="1"/>
  <c r="G281" i="1"/>
  <c r="G280" i="1" s="1"/>
  <c r="G249" i="1" s="1"/>
  <c r="G248" i="1" s="1"/>
  <c r="F281" i="1"/>
  <c r="E281" i="1"/>
  <c r="AE281" i="1" s="1"/>
  <c r="P280" i="1"/>
  <c r="N280" i="1"/>
  <c r="L280" i="1"/>
  <c r="J280" i="1"/>
  <c r="H280" i="1"/>
  <c r="F280" i="1"/>
  <c r="AD279" i="1"/>
  <c r="E279" i="1"/>
  <c r="AF279" i="1" s="1"/>
  <c r="AD278" i="1"/>
  <c r="E278" i="1"/>
  <c r="AF278" i="1" s="1"/>
  <c r="AD277" i="1"/>
  <c r="E277" i="1"/>
  <c r="AF277" i="1" s="1"/>
  <c r="AD276" i="1"/>
  <c r="E276" i="1"/>
  <c r="AF276" i="1" s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AE275" i="1" s="1"/>
  <c r="E274" i="1"/>
  <c r="AF273" i="1"/>
  <c r="AD273" i="1"/>
  <c r="AE273" i="1" s="1"/>
  <c r="E273" i="1"/>
  <c r="E272" i="1"/>
  <c r="AE272" i="1" s="1"/>
  <c r="Q271" i="1"/>
  <c r="P271" i="1"/>
  <c r="O271" i="1"/>
  <c r="N271" i="1"/>
  <c r="M271" i="1"/>
  <c r="L271" i="1"/>
  <c r="K271" i="1"/>
  <c r="J271" i="1"/>
  <c r="I271" i="1"/>
  <c r="H271" i="1"/>
  <c r="G271" i="1"/>
  <c r="F271" i="1"/>
  <c r="AE270" i="1"/>
  <c r="E270" i="1"/>
  <c r="AF270" i="1" s="1"/>
  <c r="AE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AE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E267" i="1"/>
  <c r="E266" i="1" s="1"/>
  <c r="AD265" i="1"/>
  <c r="J265" i="1"/>
  <c r="E265" i="1"/>
  <c r="AF265" i="1" s="1"/>
  <c r="AD264" i="1"/>
  <c r="E264" i="1"/>
  <c r="AF264" i="1" s="1"/>
  <c r="AD263" i="1"/>
  <c r="N263" i="1"/>
  <c r="N261" i="1" s="1"/>
  <c r="M263" i="1"/>
  <c r="L263" i="1"/>
  <c r="L261" i="1" s="1"/>
  <c r="J263" i="1"/>
  <c r="E263" i="1"/>
  <c r="AF263" i="1" s="1"/>
  <c r="AD262" i="1"/>
  <c r="E262" i="1"/>
  <c r="AF262" i="1" s="1"/>
  <c r="Q261" i="1"/>
  <c r="P261" i="1"/>
  <c r="O261" i="1"/>
  <c r="M261" i="1"/>
  <c r="K261" i="1"/>
  <c r="J261" i="1"/>
  <c r="I261" i="1"/>
  <c r="H261" i="1"/>
  <c r="G261" i="1"/>
  <c r="F261" i="1"/>
  <c r="E261" i="1"/>
  <c r="AE261" i="1" s="1"/>
  <c r="E260" i="1"/>
  <c r="E259" i="1"/>
  <c r="E256" i="1" s="1"/>
  <c r="AE256" i="1" s="1"/>
  <c r="E258" i="1"/>
  <c r="AF257" i="1"/>
  <c r="AD257" i="1"/>
  <c r="AE257" i="1" s="1"/>
  <c r="E257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F255" i="1"/>
  <c r="AD255" i="1"/>
  <c r="G255" i="1"/>
  <c r="E255" i="1"/>
  <c r="AE254" i="1"/>
  <c r="E254" i="1"/>
  <c r="AF254" i="1" s="1"/>
  <c r="AF253" i="1"/>
  <c r="AD253" i="1"/>
  <c r="P253" i="1"/>
  <c r="O253" i="1"/>
  <c r="N253" i="1"/>
  <c r="E253" i="1"/>
  <c r="AD252" i="1"/>
  <c r="E252" i="1"/>
  <c r="AF252" i="1" s="1"/>
  <c r="AD251" i="1"/>
  <c r="E251" i="1"/>
  <c r="AF251" i="1" s="1"/>
  <c r="Q250" i="1"/>
  <c r="Q249" i="1" s="1"/>
  <c r="Q248" i="1" s="1"/>
  <c r="P250" i="1"/>
  <c r="O250" i="1"/>
  <c r="N250" i="1"/>
  <c r="M250" i="1"/>
  <c r="M249" i="1" s="1"/>
  <c r="M248" i="1" s="1"/>
  <c r="L250" i="1"/>
  <c r="K250" i="1"/>
  <c r="J250" i="1"/>
  <c r="I250" i="1"/>
  <c r="I249" i="1" s="1"/>
  <c r="I248" i="1" s="1"/>
  <c r="H250" i="1"/>
  <c r="G250" i="1"/>
  <c r="F250" i="1"/>
  <c r="E250" i="1"/>
  <c r="AE250" i="1" s="1"/>
  <c r="AE247" i="1"/>
  <c r="AD247" i="1"/>
  <c r="N247" i="1"/>
  <c r="E247" i="1"/>
  <c r="AF247" i="1" s="1"/>
  <c r="AE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AE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AF244" i="1"/>
  <c r="AD244" i="1"/>
  <c r="AE244" i="1" s="1"/>
  <c r="E244" i="1"/>
  <c r="AF243" i="1"/>
  <c r="AD243" i="1"/>
  <c r="AE243" i="1" s="1"/>
  <c r="E243" i="1"/>
  <c r="AF242" i="1"/>
  <c r="AD242" i="1"/>
  <c r="AE242" i="1" s="1"/>
  <c r="E242" i="1"/>
  <c r="AF241" i="1"/>
  <c r="AD241" i="1"/>
  <c r="AE241" i="1" s="1"/>
  <c r="E241" i="1"/>
  <c r="AF240" i="1"/>
  <c r="AD240" i="1"/>
  <c r="AE240" i="1" s="1"/>
  <c r="E240" i="1"/>
  <c r="AF239" i="1"/>
  <c r="AD239" i="1"/>
  <c r="AE239" i="1" s="1"/>
  <c r="E239" i="1"/>
  <c r="AF238" i="1"/>
  <c r="AD238" i="1"/>
  <c r="AE238" i="1" s="1"/>
  <c r="E238" i="1"/>
  <c r="R237" i="1"/>
  <c r="Q237" i="1"/>
  <c r="Q234" i="1" s="1"/>
  <c r="P237" i="1"/>
  <c r="O237" i="1"/>
  <c r="O234" i="1" s="1"/>
  <c r="N237" i="1"/>
  <c r="M237" i="1"/>
  <c r="M234" i="1" s="1"/>
  <c r="L237" i="1"/>
  <c r="K237" i="1"/>
  <c r="K234" i="1" s="1"/>
  <c r="J237" i="1"/>
  <c r="I237" i="1"/>
  <c r="I234" i="1" s="1"/>
  <c r="H237" i="1"/>
  <c r="G237" i="1"/>
  <c r="G234" i="1" s="1"/>
  <c r="F237" i="1"/>
  <c r="E237" i="1"/>
  <c r="E234" i="1" s="1"/>
  <c r="AE234" i="1" s="1"/>
  <c r="AE236" i="1"/>
  <c r="AD236" i="1"/>
  <c r="P236" i="1"/>
  <c r="E236" i="1"/>
  <c r="AF236" i="1" s="1"/>
  <c r="AE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P234" i="1"/>
  <c r="N234" i="1"/>
  <c r="L234" i="1"/>
  <c r="J234" i="1"/>
  <c r="H234" i="1"/>
  <c r="F234" i="1"/>
  <c r="AF233" i="1"/>
  <c r="AD233" i="1"/>
  <c r="K233" i="1"/>
  <c r="E233" i="1"/>
  <c r="E231" i="1" s="1"/>
  <c r="AE232" i="1"/>
  <c r="AD232" i="1"/>
  <c r="I232" i="1"/>
  <c r="I231" i="1" s="1"/>
  <c r="E232" i="1"/>
  <c r="AF232" i="1" s="1"/>
  <c r="AE231" i="1"/>
  <c r="Q231" i="1"/>
  <c r="P231" i="1"/>
  <c r="O231" i="1"/>
  <c r="N231" i="1"/>
  <c r="M231" i="1"/>
  <c r="L231" i="1"/>
  <c r="K231" i="1"/>
  <c r="J231" i="1"/>
  <c r="H231" i="1"/>
  <c r="G231" i="1"/>
  <c r="F231" i="1"/>
  <c r="AF230" i="1"/>
  <c r="AD230" i="1"/>
  <c r="AE230" i="1" s="1"/>
  <c r="E230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E229" i="1" s="1"/>
  <c r="AD228" i="1"/>
  <c r="E228" i="1"/>
  <c r="AE228" i="1" s="1"/>
  <c r="AE227" i="1"/>
  <c r="E227" i="1"/>
  <c r="AF227" i="1" s="1"/>
  <c r="AF226" i="1"/>
  <c r="AD226" i="1"/>
  <c r="AE226" i="1" s="1"/>
  <c r="E226" i="1"/>
  <c r="AF225" i="1"/>
  <c r="AD225" i="1"/>
  <c r="AE225" i="1" s="1"/>
  <c r="E225" i="1"/>
  <c r="AF224" i="1"/>
  <c r="AD224" i="1"/>
  <c r="AE224" i="1" s="1"/>
  <c r="E224" i="1"/>
  <c r="Q223" i="1"/>
  <c r="P223" i="1"/>
  <c r="O223" i="1"/>
  <c r="N223" i="1"/>
  <c r="M223" i="1"/>
  <c r="L223" i="1"/>
  <c r="L209" i="1" s="1"/>
  <c r="L208" i="1" s="1"/>
  <c r="K223" i="1"/>
  <c r="J223" i="1"/>
  <c r="J209" i="1" s="1"/>
  <c r="J208" i="1" s="1"/>
  <c r="I223" i="1"/>
  <c r="H223" i="1"/>
  <c r="H209" i="1" s="1"/>
  <c r="H208" i="1" s="1"/>
  <c r="G223" i="1"/>
  <c r="F223" i="1"/>
  <c r="F209" i="1" s="1"/>
  <c r="F208" i="1" s="1"/>
  <c r="AD222" i="1"/>
  <c r="P222" i="1"/>
  <c r="E222" i="1"/>
  <c r="AF222" i="1" s="1"/>
  <c r="AE221" i="1"/>
  <c r="AD221" i="1"/>
  <c r="I221" i="1"/>
  <c r="E221" i="1"/>
  <c r="AF221" i="1" s="1"/>
  <c r="O220" i="1"/>
  <c r="E220" i="1"/>
  <c r="AF220" i="1" s="1"/>
  <c r="Q219" i="1"/>
  <c r="P219" i="1"/>
  <c r="O219" i="1"/>
  <c r="N219" i="1"/>
  <c r="M219" i="1"/>
  <c r="L219" i="1"/>
  <c r="K219" i="1"/>
  <c r="J219" i="1"/>
  <c r="I219" i="1"/>
  <c r="H219" i="1"/>
  <c r="G219" i="1"/>
  <c r="F219" i="1"/>
  <c r="AE218" i="1"/>
  <c r="AD218" i="1"/>
  <c r="N218" i="1"/>
  <c r="N215" i="1" s="1"/>
  <c r="N209" i="1" s="1"/>
  <c r="N208" i="1" s="1"/>
  <c r="E218" i="1"/>
  <c r="AF218" i="1" s="1"/>
  <c r="AF217" i="1"/>
  <c r="AD217" i="1"/>
  <c r="AE217" i="1" s="1"/>
  <c r="E217" i="1"/>
  <c r="AF216" i="1"/>
  <c r="AD216" i="1"/>
  <c r="AE216" i="1" s="1"/>
  <c r="E216" i="1"/>
  <c r="AE215" i="1"/>
  <c r="R215" i="1"/>
  <c r="Q215" i="1"/>
  <c r="P215" i="1"/>
  <c r="O215" i="1"/>
  <c r="O209" i="1" s="1"/>
  <c r="O208" i="1" s="1"/>
  <c r="M215" i="1"/>
  <c r="L215" i="1"/>
  <c r="K215" i="1"/>
  <c r="J215" i="1"/>
  <c r="I215" i="1"/>
  <c r="H215" i="1"/>
  <c r="G215" i="1"/>
  <c r="F215" i="1"/>
  <c r="E215" i="1"/>
  <c r="AE214" i="1"/>
  <c r="AD214" i="1"/>
  <c r="P214" i="1"/>
  <c r="P210" i="1" s="1"/>
  <c r="P209" i="1" s="1"/>
  <c r="P208" i="1" s="1"/>
  <c r="E214" i="1"/>
  <c r="AF214" i="1" s="1"/>
  <c r="AF213" i="1"/>
  <c r="AD213" i="1"/>
  <c r="H213" i="1"/>
  <c r="E213" i="1"/>
  <c r="AE212" i="1"/>
  <c r="AD212" i="1"/>
  <c r="K212" i="1"/>
  <c r="K210" i="1" s="1"/>
  <c r="K209" i="1" s="1"/>
  <c r="K208" i="1" s="1"/>
  <c r="E212" i="1"/>
  <c r="AF212" i="1" s="1"/>
  <c r="AF211" i="1"/>
  <c r="E211" i="1"/>
  <c r="AE211" i="1" s="1"/>
  <c r="Q210" i="1"/>
  <c r="O210" i="1"/>
  <c r="N210" i="1"/>
  <c r="M210" i="1"/>
  <c r="L210" i="1"/>
  <c r="J210" i="1"/>
  <c r="I210" i="1"/>
  <c r="H210" i="1"/>
  <c r="G210" i="1"/>
  <c r="F210" i="1"/>
  <c r="E210" i="1"/>
  <c r="AE210" i="1" s="1"/>
  <c r="Q209" i="1"/>
  <c r="Q208" i="1" s="1"/>
  <c r="M209" i="1"/>
  <c r="M208" i="1" s="1"/>
  <c r="I209" i="1"/>
  <c r="I208" i="1" s="1"/>
  <c r="G209" i="1"/>
  <c r="G208" i="1"/>
  <c r="AD207" i="1"/>
  <c r="E207" i="1"/>
  <c r="AF207" i="1" s="1"/>
  <c r="AE206" i="1"/>
  <c r="AD206" i="1"/>
  <c r="N206" i="1"/>
  <c r="N204" i="1" s="1"/>
  <c r="E206" i="1"/>
  <c r="AF206" i="1" s="1"/>
  <c r="AD205" i="1"/>
  <c r="K205" i="1"/>
  <c r="E205" i="1"/>
  <c r="AF205" i="1" s="1"/>
  <c r="Q204" i="1"/>
  <c r="Q199" i="1" s="1"/>
  <c r="P204" i="1"/>
  <c r="O204" i="1"/>
  <c r="O199" i="1" s="1"/>
  <c r="M204" i="1"/>
  <c r="M199" i="1" s="1"/>
  <c r="L204" i="1"/>
  <c r="K204" i="1"/>
  <c r="K199" i="1" s="1"/>
  <c r="J204" i="1"/>
  <c r="I204" i="1"/>
  <c r="I199" i="1" s="1"/>
  <c r="H204" i="1"/>
  <c r="G204" i="1"/>
  <c r="G199" i="1" s="1"/>
  <c r="F204" i="1"/>
  <c r="E204" i="1"/>
  <c r="AE203" i="1"/>
  <c r="AD203" i="1"/>
  <c r="N203" i="1"/>
  <c r="E203" i="1"/>
  <c r="AF203" i="1" s="1"/>
  <c r="AE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F201" i="1"/>
  <c r="AD201" i="1"/>
  <c r="AE201" i="1" s="1"/>
  <c r="E201" i="1"/>
  <c r="AE200" i="1"/>
  <c r="Q200" i="1"/>
  <c r="P200" i="1"/>
  <c r="P199" i="1" s="1"/>
  <c r="O200" i="1"/>
  <c r="N200" i="1"/>
  <c r="M200" i="1"/>
  <c r="L200" i="1"/>
  <c r="L199" i="1" s="1"/>
  <c r="K200" i="1"/>
  <c r="J200" i="1"/>
  <c r="I200" i="1"/>
  <c r="H200" i="1"/>
  <c r="H199" i="1" s="1"/>
  <c r="G200" i="1"/>
  <c r="F200" i="1"/>
  <c r="E200" i="1"/>
  <c r="N199" i="1"/>
  <c r="J199" i="1"/>
  <c r="F199" i="1"/>
  <c r="E198" i="1"/>
  <c r="AE198" i="1" s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6" i="1"/>
  <c r="AD195" i="1"/>
  <c r="K195" i="1"/>
  <c r="E195" i="1"/>
  <c r="AF195" i="1" s="1"/>
  <c r="AE194" i="1"/>
  <c r="AD194" i="1"/>
  <c r="G194" i="1"/>
  <c r="E194" i="1"/>
  <c r="AF194" i="1" s="1"/>
  <c r="E193" i="1"/>
  <c r="AE193" i="1" s="1"/>
  <c r="AD192" i="1"/>
  <c r="E192" i="1"/>
  <c r="AF192" i="1" s="1"/>
  <c r="Q191" i="1"/>
  <c r="Q184" i="1" s="1"/>
  <c r="P191" i="1"/>
  <c r="O191" i="1"/>
  <c r="O184" i="1" s="1"/>
  <c r="N191" i="1"/>
  <c r="M191" i="1"/>
  <c r="M184" i="1" s="1"/>
  <c r="L191" i="1"/>
  <c r="K191" i="1"/>
  <c r="K184" i="1" s="1"/>
  <c r="J191" i="1"/>
  <c r="I191" i="1"/>
  <c r="I184" i="1" s="1"/>
  <c r="H191" i="1"/>
  <c r="G191" i="1"/>
  <c r="G184" i="1" s="1"/>
  <c r="F191" i="1"/>
  <c r="E191" i="1"/>
  <c r="AE191" i="1" s="1"/>
  <c r="AE190" i="1"/>
  <c r="AD190" i="1"/>
  <c r="F190" i="1"/>
  <c r="E190" i="1"/>
  <c r="AF190" i="1" s="1"/>
  <c r="AD189" i="1"/>
  <c r="G189" i="1"/>
  <c r="E189" i="1"/>
  <c r="AF189" i="1" s="1"/>
  <c r="AD188" i="1"/>
  <c r="E188" i="1"/>
  <c r="AE187" i="1"/>
  <c r="AD187" i="1"/>
  <c r="F187" i="1"/>
  <c r="F185" i="1" s="1"/>
  <c r="F184" i="1" s="1"/>
  <c r="E187" i="1"/>
  <c r="AF187" i="1" s="1"/>
  <c r="AF186" i="1"/>
  <c r="AD186" i="1"/>
  <c r="AE186" i="1" s="1"/>
  <c r="E186" i="1"/>
  <c r="Q185" i="1"/>
  <c r="P185" i="1"/>
  <c r="O185" i="1"/>
  <c r="N185" i="1"/>
  <c r="M185" i="1"/>
  <c r="L185" i="1"/>
  <c r="K185" i="1"/>
  <c r="J185" i="1"/>
  <c r="I185" i="1"/>
  <c r="H185" i="1"/>
  <c r="G185" i="1"/>
  <c r="P184" i="1"/>
  <c r="N184" i="1"/>
  <c r="L184" i="1"/>
  <c r="J184" i="1"/>
  <c r="H184" i="1"/>
  <c r="E183" i="1"/>
  <c r="AE183" i="1" s="1"/>
  <c r="AE182" i="1"/>
  <c r="E182" i="1"/>
  <c r="AF182" i="1" s="1"/>
  <c r="E181" i="1"/>
  <c r="AE181" i="1" s="1"/>
  <c r="AE180" i="1"/>
  <c r="E180" i="1"/>
  <c r="AF180" i="1" s="1"/>
  <c r="E179" i="1"/>
  <c r="AE179" i="1" s="1"/>
  <c r="AD178" i="1"/>
  <c r="AE178" i="1" s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AD177" i="1"/>
  <c r="E177" i="1"/>
  <c r="AF177" i="1" s="1"/>
  <c r="AD176" i="1"/>
  <c r="E176" i="1"/>
  <c r="AF176" i="1" s="1"/>
  <c r="AD175" i="1"/>
  <c r="E175" i="1"/>
  <c r="AF175" i="1" s="1"/>
  <c r="AD174" i="1"/>
  <c r="E174" i="1"/>
  <c r="AF174" i="1" s="1"/>
  <c r="AD173" i="1"/>
  <c r="E173" i="1"/>
  <c r="AF173" i="1" s="1"/>
  <c r="AD172" i="1"/>
  <c r="E172" i="1"/>
  <c r="AF172" i="1" s="1"/>
  <c r="AD171" i="1"/>
  <c r="E171" i="1"/>
  <c r="AF171" i="1" s="1"/>
  <c r="AD170" i="1"/>
  <c r="E170" i="1"/>
  <c r="AF170" i="1" s="1"/>
  <c r="AD169" i="1"/>
  <c r="E169" i="1"/>
  <c r="AF169" i="1" s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E168" i="1" s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AE167" i="1" s="1"/>
  <c r="AE166" i="1"/>
  <c r="AD166" i="1"/>
  <c r="N166" i="1"/>
  <c r="E166" i="1"/>
  <c r="AF166" i="1" s="1"/>
  <c r="AE165" i="1"/>
  <c r="Q165" i="1"/>
  <c r="P165" i="1"/>
  <c r="P146" i="1" s="1"/>
  <c r="P128" i="1" s="1"/>
  <c r="O165" i="1"/>
  <c r="N165" i="1"/>
  <c r="N146" i="1" s="1"/>
  <c r="N128" i="1" s="1"/>
  <c r="M165" i="1"/>
  <c r="L165" i="1"/>
  <c r="L146" i="1" s="1"/>
  <c r="L128" i="1" s="1"/>
  <c r="K165" i="1"/>
  <c r="J165" i="1"/>
  <c r="J146" i="1" s="1"/>
  <c r="J128" i="1" s="1"/>
  <c r="I165" i="1"/>
  <c r="H165" i="1"/>
  <c r="H146" i="1" s="1"/>
  <c r="H128" i="1" s="1"/>
  <c r="G165" i="1"/>
  <c r="F165" i="1"/>
  <c r="F146" i="1" s="1"/>
  <c r="F128" i="1" s="1"/>
  <c r="E165" i="1"/>
  <c r="AF164" i="1"/>
  <c r="AD164" i="1"/>
  <c r="AE164" i="1" s="1"/>
  <c r="E164" i="1"/>
  <c r="AE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AF162" i="1"/>
  <c r="AD162" i="1"/>
  <c r="AE162" i="1" s="1"/>
  <c r="E162" i="1"/>
  <c r="AF161" i="1"/>
  <c r="AD161" i="1"/>
  <c r="AE161" i="1" s="1"/>
  <c r="E161" i="1"/>
  <c r="AF160" i="1"/>
  <c r="AD160" i="1"/>
  <c r="AE160" i="1" s="1"/>
  <c r="E160" i="1"/>
  <c r="AF159" i="1"/>
  <c r="AD159" i="1"/>
  <c r="AE159" i="1" s="1"/>
  <c r="E159" i="1"/>
  <c r="AF158" i="1"/>
  <c r="AD158" i="1"/>
  <c r="AE158" i="1" s="1"/>
  <c r="E158" i="1"/>
  <c r="AF157" i="1"/>
  <c r="AD157" i="1"/>
  <c r="AE157" i="1" s="1"/>
  <c r="E157" i="1"/>
  <c r="AD156" i="1"/>
  <c r="AE156" i="1" s="1"/>
  <c r="O156" i="1"/>
  <c r="E156" i="1"/>
  <c r="AF156" i="1" s="1"/>
  <c r="AE155" i="1"/>
  <c r="E155" i="1"/>
  <c r="AF155" i="1" s="1"/>
  <c r="AD154" i="1"/>
  <c r="AE154" i="1" s="1"/>
  <c r="N154" i="1"/>
  <c r="E154" i="1"/>
  <c r="AF154" i="1" s="1"/>
  <c r="AD153" i="1"/>
  <c r="E153" i="1"/>
  <c r="AF153" i="1" s="1"/>
  <c r="AE152" i="1"/>
  <c r="AD152" i="1"/>
  <c r="Q152" i="1"/>
  <c r="E152" i="1"/>
  <c r="AF152" i="1" s="1"/>
  <c r="AF151" i="1"/>
  <c r="E151" i="1"/>
  <c r="AF150" i="1"/>
  <c r="E150" i="1"/>
  <c r="AF149" i="1"/>
  <c r="E149" i="1"/>
  <c r="AF148" i="1"/>
  <c r="E148" i="1"/>
  <c r="AF147" i="1"/>
  <c r="E147" i="1"/>
  <c r="Q146" i="1"/>
  <c r="O146" i="1"/>
  <c r="M146" i="1"/>
  <c r="K146" i="1"/>
  <c r="I146" i="1"/>
  <c r="G146" i="1"/>
  <c r="E146" i="1"/>
  <c r="E145" i="1"/>
  <c r="AF145" i="1" s="1"/>
  <c r="E144" i="1"/>
  <c r="AF144" i="1" s="1"/>
  <c r="E143" i="1"/>
  <c r="AF143" i="1" s="1"/>
  <c r="E142" i="1"/>
  <c r="AF142" i="1" s="1"/>
  <c r="E141" i="1"/>
  <c r="AF141" i="1" s="1"/>
  <c r="E140" i="1"/>
  <c r="AF140" i="1" s="1"/>
  <c r="E139" i="1"/>
  <c r="AF139" i="1" s="1"/>
  <c r="E138" i="1"/>
  <c r="AF138" i="1" s="1"/>
  <c r="E137" i="1"/>
  <c r="AF137" i="1" s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F135" i="1"/>
  <c r="E135" i="1"/>
  <c r="AF134" i="1"/>
  <c r="E134" i="1"/>
  <c r="AF133" i="1"/>
  <c r="E133" i="1"/>
  <c r="AF132" i="1"/>
  <c r="E132" i="1"/>
  <c r="AF131" i="1"/>
  <c r="E131" i="1"/>
  <c r="AF130" i="1"/>
  <c r="E130" i="1"/>
  <c r="Q129" i="1"/>
  <c r="Q128" i="1" s="1"/>
  <c r="P129" i="1"/>
  <c r="O129" i="1"/>
  <c r="O128" i="1" s="1"/>
  <c r="N129" i="1"/>
  <c r="M129" i="1"/>
  <c r="M128" i="1" s="1"/>
  <c r="L129" i="1"/>
  <c r="K129" i="1"/>
  <c r="K128" i="1" s="1"/>
  <c r="J129" i="1"/>
  <c r="I129" i="1"/>
  <c r="I128" i="1" s="1"/>
  <c r="H129" i="1"/>
  <c r="G129" i="1"/>
  <c r="G128" i="1" s="1"/>
  <c r="F129" i="1"/>
  <c r="E129" i="1"/>
  <c r="AF127" i="1"/>
  <c r="N127" i="1"/>
  <c r="I127" i="1"/>
  <c r="E127" i="1"/>
  <c r="N126" i="1"/>
  <c r="K126" i="1"/>
  <c r="J126" i="1"/>
  <c r="I126" i="1"/>
  <c r="I124" i="1" s="1"/>
  <c r="H126" i="1"/>
  <c r="E126" i="1"/>
  <c r="AF126" i="1" s="1"/>
  <c r="K125" i="1"/>
  <c r="K124" i="1" s="1"/>
  <c r="H125" i="1"/>
  <c r="E125" i="1"/>
  <c r="AF125" i="1" s="1"/>
  <c r="Q124" i="1"/>
  <c r="P124" i="1"/>
  <c r="O124" i="1"/>
  <c r="N124" i="1"/>
  <c r="M124" i="1"/>
  <c r="L124" i="1"/>
  <c r="J124" i="1"/>
  <c r="H124" i="1"/>
  <c r="G124" i="1"/>
  <c r="F124" i="1"/>
  <c r="AF123" i="1"/>
  <c r="E123" i="1"/>
  <c r="F122" i="1"/>
  <c r="E122" i="1"/>
  <c r="E121" i="1" s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0" i="1"/>
  <c r="E119" i="1" s="1"/>
  <c r="AF119" i="1" s="1"/>
  <c r="E118" i="1"/>
  <c r="E117" i="1"/>
  <c r="E116" i="1"/>
  <c r="E115" i="1"/>
  <c r="AE114" i="1"/>
  <c r="E114" i="1"/>
  <c r="AF114" i="1" s="1"/>
  <c r="AF113" i="1"/>
  <c r="E113" i="1"/>
  <c r="AF112" i="1"/>
  <c r="E112" i="1"/>
  <c r="AF111" i="1"/>
  <c r="E111" i="1"/>
  <c r="AF110" i="1"/>
  <c r="E110" i="1"/>
  <c r="AF109" i="1"/>
  <c r="E109" i="1"/>
  <c r="AF108" i="1"/>
  <c r="E108" i="1"/>
  <c r="AF107" i="1"/>
  <c r="E107" i="1"/>
  <c r="AF106" i="1"/>
  <c r="E106" i="1"/>
  <c r="AF105" i="1"/>
  <c r="E105" i="1"/>
  <c r="AF104" i="1"/>
  <c r="E104" i="1"/>
  <c r="AF103" i="1"/>
  <c r="E103" i="1"/>
  <c r="AF102" i="1"/>
  <c r="E102" i="1"/>
  <c r="AF101" i="1"/>
  <c r="E101" i="1"/>
  <c r="AF100" i="1"/>
  <c r="Q100" i="1"/>
  <c r="P100" i="1"/>
  <c r="P99" i="1" s="1"/>
  <c r="O100" i="1"/>
  <c r="N100" i="1"/>
  <c r="N99" i="1" s="1"/>
  <c r="M100" i="1"/>
  <c r="L100" i="1"/>
  <c r="L99" i="1" s="1"/>
  <c r="K100" i="1"/>
  <c r="J100" i="1"/>
  <c r="J99" i="1" s="1"/>
  <c r="I100" i="1"/>
  <c r="H100" i="1"/>
  <c r="H99" i="1" s="1"/>
  <c r="G100" i="1"/>
  <c r="F100" i="1"/>
  <c r="F99" i="1" s="1"/>
  <c r="E100" i="1"/>
  <c r="Q99" i="1"/>
  <c r="O99" i="1"/>
  <c r="M99" i="1"/>
  <c r="K99" i="1"/>
  <c r="I99" i="1"/>
  <c r="G99" i="1"/>
  <c r="E99" i="1"/>
  <c r="N98" i="1"/>
  <c r="N97" i="1" s="1"/>
  <c r="N92" i="1" s="1"/>
  <c r="M98" i="1"/>
  <c r="L98" i="1"/>
  <c r="L97" i="1" s="1"/>
  <c r="L92" i="1" s="1"/>
  <c r="K98" i="1"/>
  <c r="J98" i="1"/>
  <c r="J97" i="1" s="1"/>
  <c r="J92" i="1" s="1"/>
  <c r="I98" i="1"/>
  <c r="H98" i="1"/>
  <c r="H97" i="1" s="1"/>
  <c r="H92" i="1" s="1"/>
  <c r="E98" i="1"/>
  <c r="AF98" i="1" s="1"/>
  <c r="Q97" i="1"/>
  <c r="P97" i="1"/>
  <c r="O97" i="1"/>
  <c r="M97" i="1"/>
  <c r="K97" i="1"/>
  <c r="I97" i="1"/>
  <c r="G97" i="1"/>
  <c r="F97" i="1"/>
  <c r="E97" i="1"/>
  <c r="E96" i="1"/>
  <c r="AF96" i="1" s="1"/>
  <c r="Q95" i="1"/>
  <c r="P95" i="1"/>
  <c r="O95" i="1"/>
  <c r="N95" i="1"/>
  <c r="K95" i="1"/>
  <c r="J95" i="1"/>
  <c r="I95" i="1"/>
  <c r="H95" i="1"/>
  <c r="G95" i="1"/>
  <c r="F95" i="1"/>
  <c r="E95" i="1"/>
  <c r="AF95" i="1" s="1"/>
  <c r="R94" i="1"/>
  <c r="Q94" i="1"/>
  <c r="P94" i="1"/>
  <c r="O94" i="1"/>
  <c r="N94" i="1"/>
  <c r="M94" i="1"/>
  <c r="M92" i="1" s="1"/>
  <c r="L94" i="1"/>
  <c r="K94" i="1"/>
  <c r="J94" i="1"/>
  <c r="I94" i="1"/>
  <c r="H94" i="1"/>
  <c r="G94" i="1"/>
  <c r="F94" i="1"/>
  <c r="E94" i="1"/>
  <c r="Q93" i="1"/>
  <c r="Q92" i="1" s="1"/>
  <c r="P93" i="1"/>
  <c r="O93" i="1"/>
  <c r="O92" i="1" s="1"/>
  <c r="N93" i="1"/>
  <c r="K93" i="1"/>
  <c r="K92" i="1" s="1"/>
  <c r="J93" i="1"/>
  <c r="I93" i="1"/>
  <c r="I92" i="1" s="1"/>
  <c r="H93" i="1"/>
  <c r="G93" i="1"/>
  <c r="G92" i="1" s="1"/>
  <c r="F93" i="1"/>
  <c r="E93" i="1"/>
  <c r="AF93" i="1" s="1"/>
  <c r="P92" i="1"/>
  <c r="F92" i="1"/>
  <c r="Q91" i="1"/>
  <c r="E91" i="1"/>
  <c r="E90" i="1" s="1"/>
  <c r="Q90" i="1"/>
  <c r="P90" i="1"/>
  <c r="O90" i="1"/>
  <c r="N90" i="1"/>
  <c r="M90" i="1"/>
  <c r="L90" i="1"/>
  <c r="K90" i="1"/>
  <c r="J90" i="1"/>
  <c r="I90" i="1"/>
  <c r="H90" i="1"/>
  <c r="G90" i="1"/>
  <c r="F90" i="1"/>
  <c r="Q89" i="1"/>
  <c r="E89" i="1"/>
  <c r="E88" i="1" s="1"/>
  <c r="Q88" i="1"/>
  <c r="P88" i="1"/>
  <c r="O88" i="1"/>
  <c r="N88" i="1"/>
  <c r="M88" i="1"/>
  <c r="L88" i="1"/>
  <c r="K88" i="1"/>
  <c r="J88" i="1"/>
  <c r="I88" i="1"/>
  <c r="H88" i="1"/>
  <c r="G88" i="1"/>
  <c r="F88" i="1"/>
  <c r="AF87" i="1"/>
  <c r="E87" i="1"/>
  <c r="AF86" i="1"/>
  <c r="E86" i="1"/>
  <c r="AF85" i="1"/>
  <c r="E85" i="1"/>
  <c r="AF84" i="1"/>
  <c r="E84" i="1"/>
  <c r="AF83" i="1"/>
  <c r="E83" i="1"/>
  <c r="AF82" i="1"/>
  <c r="E82" i="1"/>
  <c r="AF81" i="1"/>
  <c r="E81" i="1"/>
  <c r="AF80" i="1"/>
  <c r="E80" i="1"/>
  <c r="AF79" i="1"/>
  <c r="E79" i="1"/>
  <c r="AF78" i="1"/>
  <c r="E78" i="1"/>
  <c r="AF77" i="1"/>
  <c r="E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D75" i="1"/>
  <c r="E75" i="1"/>
  <c r="AF75" i="1" s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E73" i="1"/>
  <c r="AF73" i="1" s="1"/>
  <c r="Q72" i="1"/>
  <c r="P72" i="1"/>
  <c r="P71" i="1" s="1"/>
  <c r="P70" i="1" s="1"/>
  <c r="P69" i="1" s="1"/>
  <c r="O72" i="1"/>
  <c r="N72" i="1"/>
  <c r="N71" i="1" s="1"/>
  <c r="M72" i="1"/>
  <c r="L72" i="1"/>
  <c r="L71" i="1" s="1"/>
  <c r="L70" i="1" s="1"/>
  <c r="L69" i="1" s="1"/>
  <c r="K72" i="1"/>
  <c r="J72" i="1"/>
  <c r="J71" i="1" s="1"/>
  <c r="J70" i="1" s="1"/>
  <c r="J69" i="1" s="1"/>
  <c r="I72" i="1"/>
  <c r="H72" i="1"/>
  <c r="H71" i="1" s="1"/>
  <c r="H70" i="1" s="1"/>
  <c r="H69" i="1" s="1"/>
  <c r="G72" i="1"/>
  <c r="F72" i="1"/>
  <c r="F71" i="1" s="1"/>
  <c r="F70" i="1" s="1"/>
  <c r="F69" i="1" s="1"/>
  <c r="Q71" i="1"/>
  <c r="Q70" i="1" s="1"/>
  <c r="Q69" i="1" s="1"/>
  <c r="O71" i="1"/>
  <c r="O70" i="1" s="1"/>
  <c r="O69" i="1" s="1"/>
  <c r="O15" i="1" s="1"/>
  <c r="O14" i="1" s="1"/>
  <c r="O13" i="1" s="1"/>
  <c r="M71" i="1"/>
  <c r="K71" i="1"/>
  <c r="K70" i="1" s="1"/>
  <c r="K69" i="1" s="1"/>
  <c r="I71" i="1"/>
  <c r="I70" i="1" s="1"/>
  <c r="I69" i="1" s="1"/>
  <c r="G71" i="1"/>
  <c r="G70" i="1" s="1"/>
  <c r="G69" i="1" s="1"/>
  <c r="E68" i="1"/>
  <c r="AF68" i="1" s="1"/>
  <c r="E67" i="1"/>
  <c r="AF67" i="1" s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F65" i="1" s="1"/>
  <c r="E64" i="1"/>
  <c r="AF64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F62" i="1" s="1"/>
  <c r="Q61" i="1"/>
  <c r="P61" i="1"/>
  <c r="O61" i="1"/>
  <c r="N61" i="1"/>
  <c r="M61" i="1"/>
  <c r="M57" i="1" s="1"/>
  <c r="M56" i="1" s="1"/>
  <c r="L61" i="1"/>
  <c r="K61" i="1"/>
  <c r="J61" i="1"/>
  <c r="I61" i="1"/>
  <c r="H61" i="1"/>
  <c r="G61" i="1"/>
  <c r="F61" i="1"/>
  <c r="E61" i="1"/>
  <c r="AF61" i="1" s="1"/>
  <c r="E60" i="1"/>
  <c r="AF60" i="1" s="1"/>
  <c r="Q59" i="1"/>
  <c r="P59" i="1"/>
  <c r="O59" i="1"/>
  <c r="N59" i="1"/>
  <c r="K59" i="1"/>
  <c r="J59" i="1"/>
  <c r="I59" i="1"/>
  <c r="H59" i="1"/>
  <c r="G59" i="1"/>
  <c r="F59" i="1"/>
  <c r="E59" i="1"/>
  <c r="AF59" i="1" s="1"/>
  <c r="Q58" i="1"/>
  <c r="Q57" i="1" s="1"/>
  <c r="Q56" i="1" s="1"/>
  <c r="P58" i="1"/>
  <c r="O58" i="1"/>
  <c r="O57" i="1" s="1"/>
  <c r="O56" i="1" s="1"/>
  <c r="N58" i="1"/>
  <c r="K58" i="1"/>
  <c r="K57" i="1" s="1"/>
  <c r="K56" i="1" s="1"/>
  <c r="J58" i="1"/>
  <c r="I58" i="1"/>
  <c r="I57" i="1" s="1"/>
  <c r="I56" i="1" s="1"/>
  <c r="H58" i="1"/>
  <c r="G58" i="1"/>
  <c r="G57" i="1" s="1"/>
  <c r="G56" i="1" s="1"/>
  <c r="F58" i="1"/>
  <c r="E58" i="1"/>
  <c r="AF58" i="1" s="1"/>
  <c r="P57" i="1"/>
  <c r="P56" i="1" s="1"/>
  <c r="N57" i="1"/>
  <c r="N56" i="1" s="1"/>
  <c r="L57" i="1"/>
  <c r="L56" i="1" s="1"/>
  <c r="J57" i="1"/>
  <c r="J56" i="1" s="1"/>
  <c r="H57" i="1"/>
  <c r="H56" i="1" s="1"/>
  <c r="F57" i="1"/>
  <c r="F56" i="1" s="1"/>
  <c r="E55" i="1"/>
  <c r="AF55" i="1" s="1"/>
  <c r="Q54" i="1"/>
  <c r="P54" i="1"/>
  <c r="O54" i="1"/>
  <c r="N54" i="1"/>
  <c r="M54" i="1"/>
  <c r="L54" i="1"/>
  <c r="K54" i="1"/>
  <c r="J54" i="1"/>
  <c r="I54" i="1"/>
  <c r="H54" i="1"/>
  <c r="G54" i="1"/>
  <c r="F54" i="1"/>
  <c r="AF53" i="1"/>
  <c r="E53" i="1"/>
  <c r="AF52" i="1"/>
  <c r="E52" i="1"/>
  <c r="AF51" i="1"/>
  <c r="E51" i="1"/>
  <c r="AF50" i="1"/>
  <c r="E50" i="1"/>
  <c r="AD49" i="1"/>
  <c r="E49" i="1"/>
  <c r="AF49" i="1" s="1"/>
  <c r="AD48" i="1"/>
  <c r="E48" i="1"/>
  <c r="AF48" i="1" s="1"/>
  <c r="Q47" i="1"/>
  <c r="Q46" i="1" s="1"/>
  <c r="P47" i="1"/>
  <c r="O47" i="1"/>
  <c r="O46" i="1" s="1"/>
  <c r="N47" i="1"/>
  <c r="M47" i="1"/>
  <c r="M46" i="1" s="1"/>
  <c r="L47" i="1"/>
  <c r="K47" i="1"/>
  <c r="K46" i="1" s="1"/>
  <c r="J47" i="1"/>
  <c r="I47" i="1"/>
  <c r="I46" i="1" s="1"/>
  <c r="H47" i="1"/>
  <c r="G47" i="1"/>
  <c r="G46" i="1" s="1"/>
  <c r="F47" i="1"/>
  <c r="E47" i="1"/>
  <c r="E46" i="1" s="1"/>
  <c r="AE45" i="1"/>
  <c r="E45" i="1"/>
  <c r="AF45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E43" i="1"/>
  <c r="AF43" i="1" s="1"/>
  <c r="Q42" i="1"/>
  <c r="P42" i="1"/>
  <c r="O42" i="1"/>
  <c r="N42" i="1"/>
  <c r="M42" i="1"/>
  <c r="L42" i="1"/>
  <c r="K42" i="1"/>
  <c r="J42" i="1"/>
  <c r="I42" i="1"/>
  <c r="H42" i="1"/>
  <c r="G42" i="1"/>
  <c r="F42" i="1"/>
  <c r="Q41" i="1"/>
  <c r="P41" i="1"/>
  <c r="P40" i="1" s="1"/>
  <c r="P46" i="1" s="1"/>
  <c r="O41" i="1"/>
  <c r="N41" i="1"/>
  <c r="N40" i="1" s="1"/>
  <c r="N46" i="1" s="1"/>
  <c r="N16" i="1" s="1"/>
  <c r="M41" i="1"/>
  <c r="L41" i="1"/>
  <c r="L40" i="1" s="1"/>
  <c r="L46" i="1" s="1"/>
  <c r="K41" i="1"/>
  <c r="J41" i="1"/>
  <c r="J40" i="1" s="1"/>
  <c r="J46" i="1" s="1"/>
  <c r="J16" i="1" s="1"/>
  <c r="I41" i="1"/>
  <c r="H41" i="1"/>
  <c r="H40" i="1" s="1"/>
  <c r="H46" i="1" s="1"/>
  <c r="G41" i="1"/>
  <c r="F41" i="1"/>
  <c r="F40" i="1" s="1"/>
  <c r="F46" i="1" s="1"/>
  <c r="F16" i="1" s="1"/>
  <c r="Q40" i="1"/>
  <c r="O40" i="1"/>
  <c r="M40" i="1"/>
  <c r="K40" i="1"/>
  <c r="I40" i="1"/>
  <c r="G40" i="1"/>
  <c r="E39" i="1"/>
  <c r="AF39" i="1" s="1"/>
  <c r="AE38" i="1"/>
  <c r="P38" i="1"/>
  <c r="O38" i="1"/>
  <c r="N38" i="1"/>
  <c r="E38" i="1"/>
  <c r="AF38" i="1" s="1"/>
  <c r="AE37" i="1"/>
  <c r="E37" i="1"/>
  <c r="AF37" i="1" s="1"/>
  <c r="AE36" i="1"/>
  <c r="E36" i="1"/>
  <c r="AF3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E34" i="1"/>
  <c r="AE35" i="1" s="1"/>
  <c r="E34" i="1"/>
  <c r="AF34" i="1" s="1"/>
  <c r="AE33" i="1"/>
  <c r="E33" i="1"/>
  <c r="AF33" i="1" s="1"/>
  <c r="AE32" i="1"/>
  <c r="N32" i="1"/>
  <c r="M32" i="1"/>
  <c r="M31" i="1" s="1"/>
  <c r="L32" i="1"/>
  <c r="K32" i="1"/>
  <c r="K31" i="1" s="1"/>
  <c r="J32" i="1"/>
  <c r="I32" i="1"/>
  <c r="I31" i="1" s="1"/>
  <c r="H32" i="1"/>
  <c r="G32" i="1"/>
  <c r="G31" i="1" s="1"/>
  <c r="F32" i="1"/>
  <c r="E32" i="1"/>
  <c r="AF32" i="1" s="1"/>
  <c r="Q31" i="1"/>
  <c r="P31" i="1"/>
  <c r="O31" i="1"/>
  <c r="N31" i="1"/>
  <c r="L31" i="1"/>
  <c r="J31" i="1"/>
  <c r="H31" i="1"/>
  <c r="F31" i="1"/>
  <c r="AF30" i="1"/>
  <c r="Q30" i="1"/>
  <c r="P30" i="1"/>
  <c r="P29" i="1" s="1"/>
  <c r="P26" i="1" s="1"/>
  <c r="O30" i="1"/>
  <c r="N30" i="1"/>
  <c r="N29" i="1" s="1"/>
  <c r="N26" i="1" s="1"/>
  <c r="M30" i="1"/>
  <c r="L30" i="1"/>
  <c r="L29" i="1" s="1"/>
  <c r="L26" i="1" s="1"/>
  <c r="K30" i="1"/>
  <c r="J30" i="1"/>
  <c r="J29" i="1" s="1"/>
  <c r="J26" i="1" s="1"/>
  <c r="I30" i="1"/>
  <c r="H30" i="1"/>
  <c r="H29" i="1" s="1"/>
  <c r="H26" i="1" s="1"/>
  <c r="G30" i="1"/>
  <c r="F30" i="1"/>
  <c r="F29" i="1" s="1"/>
  <c r="F26" i="1" s="1"/>
  <c r="E30" i="1"/>
  <c r="Q29" i="1"/>
  <c r="O29" i="1"/>
  <c r="M29" i="1"/>
  <c r="K29" i="1"/>
  <c r="I29" i="1"/>
  <c r="G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F28" i="1" s="1"/>
  <c r="Q27" i="1"/>
  <c r="Q26" i="1" s="1"/>
  <c r="P27" i="1"/>
  <c r="O27" i="1"/>
  <c r="O26" i="1" s="1"/>
  <c r="N27" i="1"/>
  <c r="M27" i="1"/>
  <c r="L27" i="1"/>
  <c r="K27" i="1"/>
  <c r="J27" i="1"/>
  <c r="I27" i="1"/>
  <c r="H27" i="1"/>
  <c r="G27" i="1"/>
  <c r="F27" i="1"/>
  <c r="E27" i="1"/>
  <c r="AF25" i="1"/>
  <c r="Q25" i="1"/>
  <c r="P25" i="1"/>
  <c r="P17" i="1" s="1"/>
  <c r="E25" i="1"/>
  <c r="AF24" i="1"/>
  <c r="E24" i="1"/>
  <c r="AF23" i="1"/>
  <c r="E23" i="1"/>
  <c r="AF22" i="1"/>
  <c r="E22" i="1"/>
  <c r="AF21" i="1"/>
  <c r="E21" i="1"/>
  <c r="AF20" i="1"/>
  <c r="E20" i="1"/>
  <c r="AF19" i="1"/>
  <c r="E19" i="1"/>
  <c r="AF18" i="1"/>
  <c r="E18" i="1"/>
  <c r="Q17" i="1"/>
  <c r="Q16" i="1" s="1"/>
  <c r="O17" i="1"/>
  <c r="O16" i="1" s="1"/>
  <c r="N17" i="1"/>
  <c r="M17" i="1"/>
  <c r="L17" i="1"/>
  <c r="K17" i="1"/>
  <c r="J17" i="1"/>
  <c r="I17" i="1"/>
  <c r="H17" i="1"/>
  <c r="G17" i="1"/>
  <c r="F17" i="1"/>
  <c r="E17" i="1"/>
  <c r="P16" i="1"/>
  <c r="L16" i="1"/>
  <c r="H16" i="1"/>
  <c r="N70" i="1" l="1"/>
  <c r="N69" i="1" s="1"/>
  <c r="N15" i="1" s="1"/>
  <c r="N14" i="1" s="1"/>
  <c r="N13" i="1" s="1"/>
  <c r="G16" i="1"/>
  <c r="G15" i="1" s="1"/>
  <c r="G14" i="1" s="1"/>
  <c r="G13" i="1" s="1"/>
  <c r="K16" i="1"/>
  <c r="K15" i="1" s="1"/>
  <c r="K14" i="1" s="1"/>
  <c r="K13" i="1" s="1"/>
  <c r="G26" i="1"/>
  <c r="I26" i="1"/>
  <c r="I16" i="1" s="1"/>
  <c r="I15" i="1" s="1"/>
  <c r="I14" i="1" s="1"/>
  <c r="I13" i="1" s="1"/>
  <c r="K26" i="1"/>
  <c r="M26" i="1"/>
  <c r="M16" i="1" s="1"/>
  <c r="M15" i="1" s="1"/>
  <c r="M14" i="1" s="1"/>
  <c r="M13" i="1" s="1"/>
  <c r="M70" i="1"/>
  <c r="M69" i="1" s="1"/>
  <c r="AF89" i="1"/>
  <c r="AG14" i="1" s="1"/>
  <c r="AD220" i="1"/>
  <c r="AE220" i="1" s="1"/>
  <c r="AE263" i="1"/>
  <c r="AE265" i="1"/>
  <c r="AE277" i="1"/>
  <c r="AE279" i="1"/>
  <c r="AF290" i="1"/>
  <c r="AF91" i="1"/>
  <c r="AF122" i="1"/>
  <c r="AE153" i="1"/>
  <c r="AE169" i="1"/>
  <c r="AE170" i="1"/>
  <c r="AE171" i="1"/>
  <c r="AE172" i="1"/>
  <c r="AE173" i="1"/>
  <c r="AE174" i="1"/>
  <c r="AE175" i="1"/>
  <c r="AE176" i="1"/>
  <c r="AE177" i="1"/>
  <c r="AF179" i="1"/>
  <c r="AF181" i="1"/>
  <c r="AE189" i="1"/>
  <c r="AE195" i="1"/>
  <c r="AE204" i="1"/>
  <c r="E199" i="1"/>
  <c r="AE199" i="1" s="1"/>
  <c r="AE205" i="1"/>
  <c r="AE207" i="1"/>
  <c r="AE222" i="1"/>
  <c r="AF228" i="1"/>
  <c r="E223" i="1"/>
  <c r="AE223" i="1" s="1"/>
  <c r="AE237" i="1"/>
  <c r="AE252" i="1"/>
  <c r="E31" i="1"/>
  <c r="E42" i="1"/>
  <c r="E41" i="1" s="1"/>
  <c r="E54" i="1"/>
  <c r="E57" i="1"/>
  <c r="E56" i="1" s="1"/>
  <c r="E72" i="1"/>
  <c r="E71" i="1" s="1"/>
  <c r="E92" i="1"/>
  <c r="E124" i="1"/>
  <c r="E136" i="1"/>
  <c r="AF183" i="1"/>
  <c r="AF188" i="1"/>
  <c r="E185" i="1"/>
  <c r="AE188" i="1"/>
  <c r="AE192" i="1"/>
  <c r="AF193" i="1"/>
  <c r="E197" i="1"/>
  <c r="AE197" i="1" s="1"/>
  <c r="AF198" i="1"/>
  <c r="AE213" i="1"/>
  <c r="E219" i="1"/>
  <c r="AE233" i="1"/>
  <c r="AE251" i="1"/>
  <c r="AE253" i="1"/>
  <c r="AE255" i="1"/>
  <c r="F249" i="1"/>
  <c r="F248" i="1" s="1"/>
  <c r="F15" i="1" s="1"/>
  <c r="F14" i="1" s="1"/>
  <c r="F13" i="1" s="1"/>
  <c r="H249" i="1"/>
  <c r="H248" i="1" s="1"/>
  <c r="H15" i="1" s="1"/>
  <c r="H14" i="1" s="1"/>
  <c r="H13" i="1" s="1"/>
  <c r="J249" i="1"/>
  <c r="J248" i="1" s="1"/>
  <c r="J15" i="1" s="1"/>
  <c r="J14" i="1" s="1"/>
  <c r="J13" i="1" s="1"/>
  <c r="L249" i="1"/>
  <c r="L248" i="1" s="1"/>
  <c r="L15" i="1" s="1"/>
  <c r="L14" i="1" s="1"/>
  <c r="L13" i="1" s="1"/>
  <c r="N249" i="1"/>
  <c r="N248" i="1" s="1"/>
  <c r="P249" i="1"/>
  <c r="P248" i="1" s="1"/>
  <c r="P15" i="1" s="1"/>
  <c r="P14" i="1" s="1"/>
  <c r="P13" i="1" s="1"/>
  <c r="AE262" i="1"/>
  <c r="AE264" i="1"/>
  <c r="E271" i="1"/>
  <c r="AE271" i="1" s="1"/>
  <c r="AF272" i="1"/>
  <c r="AE276" i="1"/>
  <c r="AE278" i="1"/>
  <c r="E280" i="1"/>
  <c r="AE280" i="1" s="1"/>
  <c r="AE282" i="1"/>
  <c r="AE284" i="1"/>
  <c r="AE286" i="1"/>
  <c r="F288" i="1"/>
  <c r="F287" i="1" s="1"/>
  <c r="J288" i="1"/>
  <c r="J287" i="1" s="1"/>
  <c r="N288" i="1"/>
  <c r="N287" i="1" s="1"/>
  <c r="I311" i="1"/>
  <c r="M311" i="1"/>
  <c r="Q311" i="1"/>
  <c r="Q15" i="1" s="1"/>
  <c r="Q14" i="1" s="1"/>
  <c r="Q13" i="1" s="1"/>
  <c r="AF335" i="1"/>
  <c r="E334" i="1"/>
  <c r="AE335" i="1"/>
  <c r="AE339" i="1"/>
  <c r="AF339" i="1"/>
  <c r="E338" i="1"/>
  <c r="AF315" i="1"/>
  <c r="AD315" i="1"/>
  <c r="AE315" i="1" s="1"/>
  <c r="E314" i="1"/>
  <c r="AE316" i="1"/>
  <c r="AE329" i="1"/>
  <c r="E184" i="1" l="1"/>
  <c r="AE184" i="1" s="1"/>
  <c r="AE185" i="1"/>
  <c r="E70" i="1"/>
  <c r="AF340" i="1"/>
  <c r="AF10" i="1" s="1"/>
  <c r="AE338" i="1"/>
  <c r="E337" i="1"/>
  <c r="AE334" i="1"/>
  <c r="E331" i="1"/>
  <c r="AE331" i="1" s="1"/>
  <c r="AE314" i="1"/>
  <c r="E313" i="1"/>
  <c r="E249" i="1"/>
  <c r="AE219" i="1"/>
  <c r="E209" i="1"/>
  <c r="E40" i="1"/>
  <c r="AE41" i="1" s="1"/>
  <c r="E312" i="1" l="1"/>
  <c r="AE313" i="1"/>
  <c r="AE337" i="1"/>
  <c r="E336" i="1"/>
  <c r="AE336" i="1" s="1"/>
  <c r="AE209" i="1"/>
  <c r="E208" i="1"/>
  <c r="AE208" i="1" s="1"/>
  <c r="AE249" i="1"/>
  <c r="E248" i="1"/>
  <c r="AE248" i="1" s="1"/>
  <c r="E26" i="1"/>
  <c r="E128" i="1" l="1"/>
  <c r="E69" i="1" s="1"/>
  <c r="AD27" i="1"/>
  <c r="E16" i="1"/>
  <c r="AE312" i="1"/>
  <c r="E311" i="1"/>
  <c r="AE311" i="1" s="1"/>
  <c r="E15" i="1" l="1"/>
  <c r="E14" i="1" s="1"/>
  <c r="E13" i="1" s="1"/>
  <c r="AF11" i="1" s="1"/>
</calcChain>
</file>

<file path=xl/sharedStrings.xml><?xml version="1.0" encoding="utf-8"?>
<sst xmlns="http://schemas.openxmlformats.org/spreadsheetml/2006/main" count="893" uniqueCount="658">
  <si>
    <t xml:space="preserve">                                     MUNICIPIO DE PILCAYA GUERRERO</t>
  </si>
  <si>
    <t xml:space="preserve">                        PRESUPUESTO DE INGRESOS EJERCICIO FISCAL 2022</t>
  </si>
  <si>
    <t>FUENTE DEL INGRESO</t>
  </si>
  <si>
    <t>IMPORTES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</si>
  <si>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</si>
  <si>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</si>
  <si>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</si>
  <si>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</si>
  <si>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</si>
  <si>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</si>
  <si>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</si>
  <si>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</si>
  <si>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</si>
  <si>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</si>
  <si>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</si>
  <si>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</si>
  <si>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 O T A L E S</t>
  </si>
  <si>
    <t>1</t>
  </si>
  <si>
    <t>UNIDAD ADMINISTRATIVA</t>
  </si>
  <si>
    <t>INGRESOS MUNICIPALES</t>
  </si>
  <si>
    <t>1 1</t>
  </si>
  <si>
    <t>CORRIENTE ( TIPO DE GASTO  1 CORRIENTE, 2 CAPITAL)</t>
  </si>
  <si>
    <t>1 1 1</t>
  </si>
  <si>
    <t>Impuestos</t>
  </si>
  <si>
    <t>1 1 1 1</t>
  </si>
  <si>
    <t>Impuestos sobre los ingresos</t>
  </si>
  <si>
    <t>1 1 1 1 001</t>
  </si>
  <si>
    <t>TESORERIA</t>
  </si>
  <si>
    <t>TEATRO, CIRCO, CARPA Y DIVERSIONES SIMIL</t>
  </si>
  <si>
    <t>1 1 1 1 003</t>
  </si>
  <si>
    <t>EVENTOS TAURINOS</t>
  </si>
  <si>
    <t>1 1 1 1 006</t>
  </si>
  <si>
    <t>BAILES EVENT DE ESPECULACION, C/COBRO DE ENTRADA</t>
  </si>
  <si>
    <t>1 1 1 1 009</t>
  </si>
  <si>
    <t>OTRAS DIVERSIONES O ESPECTACULOS PUB NO</t>
  </si>
  <si>
    <t>1 1 1 1 010</t>
  </si>
  <si>
    <t>BAILES PART NO ESPECULATIVOS DESARROLLAD</t>
  </si>
  <si>
    <t>1 1 1 1 011</t>
  </si>
  <si>
    <t>MAQ VIDEO, JUEGOS MECANICOS, MAQ GOLOSIN</t>
  </si>
  <si>
    <t>1 1 1 1 012</t>
  </si>
  <si>
    <t>JUEGOS MECANICOS PARA NIÑOS POR UNIDAD Y POR ANUALIDAD</t>
  </si>
  <si>
    <t>1 1 1 1 013</t>
  </si>
  <si>
    <t>MAQUINAS DE GOLOSINAS O FUTBOLITOS POR UNIDAD Y POR ANUALIDAD</t>
  </si>
  <si>
    <t>1 1 1 2</t>
  </si>
  <si>
    <t>IMPUESTO PREDIAL</t>
  </si>
  <si>
    <t>1 1 1 2 001</t>
  </si>
  <si>
    <t>PREDIOS URBANOS Y SUB-URBANOS BALDIOS</t>
  </si>
  <si>
    <t>1 1 1 2 001 001</t>
  </si>
  <si>
    <t>URBANOS BALDIOS</t>
  </si>
  <si>
    <t>1 1 1 2 003</t>
  </si>
  <si>
    <t>PREDIOS RUSTICOS BALDIOS</t>
  </si>
  <si>
    <t>1 1 1 2 003 001</t>
  </si>
  <si>
    <t>RUSTICOS BALDIOS</t>
  </si>
  <si>
    <t>1 1 1 2 004</t>
  </si>
  <si>
    <t>PREDIOS URBANOS, SUB-URBANOS Y RUSTICOS</t>
  </si>
  <si>
    <t>1 1 1 2 004 001</t>
  </si>
  <si>
    <t>URBANOS EDIFICADOS DESTINADOS A CASA HABITACION.</t>
  </si>
  <si>
    <t>1 1 1 2 004 002</t>
  </si>
  <si>
    <t>SUB-URBANOS EDIFICADOS DESTINADOS A CASA  HABITACION.</t>
  </si>
  <si>
    <t>1 1 1 2 004 003</t>
  </si>
  <si>
    <t>RUSTICOS EDIFICADOS DESTINADOS A CASA HABITACION.</t>
  </si>
  <si>
    <t>1 1 1 2 008</t>
  </si>
  <si>
    <t>PREDIOS EDIF PROP DE PENSIONADOS Y JUBIL</t>
  </si>
  <si>
    <t>1 1 1 2 008 001</t>
  </si>
  <si>
    <t>PENSIONADOS Y JUBILADOS</t>
  </si>
  <si>
    <t>1 1 1 2 008 002</t>
  </si>
  <si>
    <t>INAPAM</t>
  </si>
  <si>
    <t>1 1 1 2 008 005</t>
  </si>
  <si>
    <t>INSEN</t>
  </si>
  <si>
    <t>1 1 1 2 009</t>
  </si>
  <si>
    <t>OTROS</t>
  </si>
  <si>
    <t>1 1 1 2 010</t>
  </si>
  <si>
    <t>REZAGOS</t>
  </si>
  <si>
    <t>1 1 1 2 010 001</t>
  </si>
  <si>
    <t>REZAGO PREDIAL</t>
  </si>
  <si>
    <t>REZAGO PREDIAL  GENERAL</t>
  </si>
  <si>
    <t>1 1 1 2 010 001 001</t>
  </si>
  <si>
    <t>REZAGO PREDIAL GENERAL URBANO Y RUSTICO</t>
  </si>
  <si>
    <t>1 1 1 2 011</t>
  </si>
  <si>
    <t>IMPUESTOS SOBRE ADQUISICIONES DE INMUEBLES</t>
  </si>
  <si>
    <t>SOBRE ADQUISICION DE INMUEBLES</t>
  </si>
  <si>
    <t>1 1 1 7</t>
  </si>
  <si>
    <t>ACCESORIOS DE IMPUESTOS</t>
  </si>
  <si>
    <t>1 1 1 7 001</t>
  </si>
  <si>
    <t>RECARGOS</t>
  </si>
  <si>
    <t>1 1 1 7 001 001</t>
  </si>
  <si>
    <t>RECARGO PREDIAL</t>
  </si>
  <si>
    <t>1 1 1 7 001 002</t>
  </si>
  <si>
    <t>RECARGOS AGUA POTABLE</t>
  </si>
  <si>
    <t>1 1 1 7 001 003</t>
  </si>
  <si>
    <t>RECARGOS DE OSARIO GUARDA Y CUSTODIA</t>
  </si>
  <si>
    <t>1 1 1 7 001 004</t>
  </si>
  <si>
    <t>RECARGOS DEPTO. DE COMERCIO Y ESPECT. PUB.</t>
  </si>
  <si>
    <t>1 1 1 7 001 005</t>
  </si>
  <si>
    <t>RECARGOS SERV. MPAL. DE SALUD</t>
  </si>
  <si>
    <t>1 1 1 7 001 006</t>
  </si>
  <si>
    <t>OTROS RECARGOS</t>
  </si>
  <si>
    <t>1 1 1 7 002 002</t>
  </si>
  <si>
    <t>REZAGO AGUA</t>
  </si>
  <si>
    <t>1 1 1 7 002 002 008</t>
  </si>
  <si>
    <t>SERVS. GENERALES</t>
  </si>
  <si>
    <t>REZAGO AGUA POTABLE GENERAL</t>
  </si>
  <si>
    <t>1 1 1 8</t>
  </si>
  <si>
    <t>OTROS IMPUESTOS</t>
  </si>
  <si>
    <t>1 1 1 8 001</t>
  </si>
  <si>
    <t>APLICADOS A IMPTO PREDIAL Y DERECHOS POR SERV. CATASTRALES</t>
  </si>
  <si>
    <t>1 1 1 8 001 001</t>
  </si>
  <si>
    <t>15% PRO-EDUCACION Y ASISTENCIA SOCIAL</t>
  </si>
  <si>
    <t>1 1 1 8 001 002</t>
  </si>
  <si>
    <t>15% PRO-CAMINOS</t>
  </si>
  <si>
    <t>1 1 1 8 001 003</t>
  </si>
  <si>
    <t>15% PRO-TURISMO</t>
  </si>
  <si>
    <t>1 1 1 8 001 004</t>
  </si>
  <si>
    <t>15% PRO-EDUCACION Y ASISTENCIA SOCIAL(REZAGO)</t>
  </si>
  <si>
    <t>1 1 1 8 001 005</t>
  </si>
  <si>
    <t xml:space="preserve">15% PRO-CAMINOS REZAGO
</t>
  </si>
  <si>
    <t>1 1 1 8 002</t>
  </si>
  <si>
    <t>APLICADOS A DERECHOS POR SERV DE TRANSIT</t>
  </si>
  <si>
    <t>1 1 1 8 002 001</t>
  </si>
  <si>
    <t>1 1 1 8 002 002</t>
  </si>
  <si>
    <t>15% PRO-RECUPERACION EQUILIBRIO ECOLOGIC</t>
  </si>
  <si>
    <t>1 1 1 8 003</t>
  </si>
  <si>
    <t>APLICADOS A DERECHOS POR SERV DE AGUA PO</t>
  </si>
  <si>
    <t>1 1 1 8 003 001</t>
  </si>
  <si>
    <t>1 1 1 8 003 002</t>
  </si>
  <si>
    <t>15% PRO-REDES</t>
  </si>
  <si>
    <t>1 1 4</t>
  </si>
  <si>
    <t>DERECHOS</t>
  </si>
  <si>
    <t>1 1 4 1</t>
  </si>
  <si>
    <t>DERECHOS POR EL USO, GOCE, APROVECHAMIENTO O EXPLOTACION DE BIENES DE DOMINIO PUBLICO</t>
  </si>
  <si>
    <t>1 1 4 1 001</t>
  </si>
  <si>
    <t>POR COOPERACION PARA OBRAS PUBLICAS</t>
  </si>
  <si>
    <t>1 1 4 1 001 001</t>
  </si>
  <si>
    <t>PARA LA CONSTRUCCION</t>
  </si>
  <si>
    <t>1 1 4 1 001 001 001</t>
  </si>
  <si>
    <t>OBRAS PUBLICAS</t>
  </si>
  <si>
    <t>POR INSTALACION DE TUBERIA DE DISTRIBUCION DE AGUA POTABLE POR METRO LINEAL</t>
  </si>
  <si>
    <t>1 1 4 1 001 003</t>
  </si>
  <si>
    <t>PARA LA REPARACION</t>
  </si>
  <si>
    <t>1 1 4 1 001 003 003</t>
  </si>
  <si>
    <t>POR TOMAS DOMICILIARIAS</t>
  </si>
  <si>
    <t>1 1 4 1 002</t>
  </si>
  <si>
    <t>LICENCIAS PARA CONSTRUCCION DE EDIFICIOS O CASAS HABITACION, RESTAURACION O REPARACION, URBANIZACION, FRACCIONAMIENTO, LOTIFICACION, RELOTIFICACION, FUSION Y SUB-DIVISION</t>
  </si>
  <si>
    <t>1 1 4 1 002 001</t>
  </si>
  <si>
    <t>LICENCIA DE CONSTRUCCION ECONOMICO, CASA HABITACION</t>
  </si>
  <si>
    <t>1 1 4 1 002 027</t>
  </si>
  <si>
    <t>POR EXPEDICION DE LICENCIA DE FRACCIONAMIENTO Y OBRAS DE URBANIZACION, EN ZONA A (COMERCIAL) POR M2</t>
  </si>
  <si>
    <t>1 1 4 1 002 031</t>
  </si>
  <si>
    <t>POR EL PERMISO PARA EJECUTAR RUPTURAS EN LA VIA PUBLICA, EMPEDRADO</t>
  </si>
  <si>
    <t>1 1 4 1 002 034</t>
  </si>
  <si>
    <t>POR EL PERMISO PARA EJECUTAR RUPTURAS EN LA VIA PUBLICA, CONCRETO HIDRAULICO</t>
  </si>
  <si>
    <t>1 1 4 1 002 038</t>
  </si>
  <si>
    <t>AUTORIZACION PARA FUSION DE PREDIOS URBANOS, EN ZONA A (COMERCIAL) POR M2</t>
  </si>
  <si>
    <t>1 1 4 1 002 047</t>
  </si>
  <si>
    <t>AUTORIZACION PARA DIVISION Y SUBDIVISION, LOTIFICACION DE PREDIOS RUSTICOS M2</t>
  </si>
  <si>
    <t>1 1 4 1 002 052</t>
  </si>
  <si>
    <t>POR LICENCIA DE CONSTRUCCION DE BOVEDA EN PANTEONES</t>
  </si>
  <si>
    <t>1 1 4 1 002 054</t>
  </si>
  <si>
    <t>POR LICENCIA DE COLOCACION DE CRIPTAS EN PANTEONES</t>
  </si>
  <si>
    <t>1 1 4 1 002 056</t>
  </si>
  <si>
    <t>POR LICENCIA DE CIRCULACION DE LOTES EN PANTEONES</t>
  </si>
  <si>
    <t>1 1 4 1 002 057</t>
  </si>
  <si>
    <t>POR LICENCIA DE CONSTRUCCION DE CAPILLAS EN PANTEONES</t>
  </si>
  <si>
    <t>1 1 4 1 002 059</t>
  </si>
  <si>
    <t>POR LA EXPEDICION DE LICENCIAS PARA CONSTRUCCION DE OBRAS</t>
  </si>
  <si>
    <t>1 1 4 1 003</t>
  </si>
  <si>
    <t>LICENCIAS PARA EL ALINEAMIENTO DE EDIFICIOS O CASAS HABITACION Y DE PREDIOS</t>
  </si>
  <si>
    <t>1 1 4 1 003 001</t>
  </si>
  <si>
    <t>POR EL ALINEAMIENTO EN ZONA URBANA COMERCIAL</t>
  </si>
  <si>
    <t>1 1 4 1 004</t>
  </si>
  <si>
    <t>LICENCIAS PARA LA DEMOLICION DE EDIFICIOS O CASAS HABITACION</t>
  </si>
  <si>
    <t>1 1 4 1 004 001</t>
  </si>
  <si>
    <t>POR LA EXPEDICION DE LICENCIA PARA LA DEMOLICION DE EDIFICIOS O CASAS HABITACION</t>
  </si>
  <si>
    <t>1 1 4 1 006</t>
  </si>
  <si>
    <t>SERVICIOS GENERALES EN PANTEONES</t>
  </si>
  <si>
    <t>1 1 4 1 006 001</t>
  </si>
  <si>
    <t>DES. SOCIAL</t>
  </si>
  <si>
    <t>INHUMACIONES POR CUERPO</t>
  </si>
  <si>
    <t>*</t>
  </si>
  <si>
    <t>1 1 4 1 006 003</t>
  </si>
  <si>
    <t>OSARIO, GUARDA Y CUSTODIA ANUALMENTE</t>
  </si>
  <si>
    <t>1 1 4 1 006 003 001</t>
  </si>
  <si>
    <t>CUOTA ANUAL POR SERV  DE MANTENIMIENTO OSARIO, GUARDA Y CUSTODIA</t>
  </si>
  <si>
    <t>1 1 4 1 006 003 002</t>
  </si>
  <si>
    <t>PERPETUIDAD DE NICHO ANUALMENTE</t>
  </si>
  <si>
    <t>1 1 4 1 006 004</t>
  </si>
  <si>
    <t>TRASLADO DE CADAVERES O RESTOS ARIDOS</t>
  </si>
  <si>
    <t>1 1 4 1 006 004 002</t>
  </si>
  <si>
    <t>FUERA DEL MUNICIPIO Y DENTRO DEL ESTADO</t>
  </si>
  <si>
    <t>1 1 4 1 007</t>
  </si>
  <si>
    <t>SERVICIO DE AGUA POTABLE,  DRENAJE, ALCANTARILLADO Y SANEAMIENTO</t>
  </si>
  <si>
    <t>1 1 4 1 007 001</t>
  </si>
  <si>
    <t>AGUA POTABLE</t>
  </si>
  <si>
    <t>SERVICIO DE AGUA POTABLE TARIFA TIPO:(DO) DOMESTICA</t>
  </si>
  <si>
    <t>1 1 4 1 007 002</t>
  </si>
  <si>
    <t>SERVICIO DE AGUA POTABLE TARIFA TIPO:(DO) COMERCIAL</t>
  </si>
  <si>
    <t>1 1 4 1 007 006</t>
  </si>
  <si>
    <t>POR CONEXIÓN A LA RED DE AGUA POTABLE ( ZONA POPULAR)</t>
  </si>
  <si>
    <t>1 1 4 1 007 007</t>
  </si>
  <si>
    <t>POR CONEXIÓN A LA RED DE AGUA POTABLE ( ZONA COMERCIAL)</t>
  </si>
  <si>
    <t>1 1 4 1 007 013</t>
  </si>
  <si>
    <t>POR CONEXIÓN A LA RED DE DRENAJE ZONA POPULAR</t>
  </si>
  <si>
    <t>1 1 4 1 007 014</t>
  </si>
  <si>
    <t>POR CONEXIÓN A LA RED DE DRENAJE ZONA SEMI-POPULAR</t>
  </si>
  <si>
    <t>1 1 4 1 007 019</t>
  </si>
  <si>
    <t>OTROS SERVICIOS, CAMBIO DE NOMBRE A CONTRATOS</t>
  </si>
  <si>
    <t>1 1 4 1 007 020</t>
  </si>
  <si>
    <t>OTROS SERVICIOS, PIPA DEL AYUNTAMIENTO POR CADA VIAJE CON AGUA</t>
  </si>
  <si>
    <t>1 1 4 1 007 021</t>
  </si>
  <si>
    <t>OTROS SERVICIOS, CARGAS DE PIPAS POR VIAJE</t>
  </si>
  <si>
    <t>1 1 4 1 007 022</t>
  </si>
  <si>
    <t>OTROS SERVICIOS, REPOSICIÓN DE PAVIMENTO</t>
  </si>
  <si>
    <t>1 1 4 1 007 023</t>
  </si>
  <si>
    <t>OTROS SERVICIOS, DESFOGUE DE TOMAS</t>
  </si>
  <si>
    <t>1 1 4 1 007 024</t>
  </si>
  <si>
    <t>OTROS SERVICIOS, EXCAVACIÓN POR M2</t>
  </si>
  <si>
    <t>1 1 4 1 007 026</t>
  </si>
  <si>
    <t>OTROS SERVICIOS, EXCAVACIÓN EN ASFALTO POR M2</t>
  </si>
  <si>
    <t>1 1 4 1 007 027</t>
  </si>
  <si>
    <t>OTROS SERVICIOS, DISTINTOS A LOS ANTERIORES</t>
  </si>
  <si>
    <t>1 1 4 1 007 030</t>
  </si>
  <si>
    <t>1 1 4 1 007 032</t>
  </si>
  <si>
    <t>SERVICIO DE AGUA POTABLE TIPO DOMESTICA INAPAM PENSIONADOS</t>
  </si>
  <si>
    <t>1 1 4 1 007 033</t>
  </si>
  <si>
    <t>SERVICIO DE AGUA POTABLE TIPO COMERCAL  INAPAM PENSIONADOS</t>
  </si>
  <si>
    <t>1 1 4 1 007 034</t>
  </si>
  <si>
    <t>CONEXION A LA RED DE AGUA POTABLE ZONA POPULAR DE INAPAM</t>
  </si>
  <si>
    <t>1 1 4 1 007 035</t>
  </si>
  <si>
    <t>CONEXION A LA RED DE DRENAJE EN ZONAS POPULARES  DE INAPAM</t>
  </si>
  <si>
    <t>1 1 4 1 008</t>
  </si>
  <si>
    <t>POR SERVICIOS DE ALUMBRADO PUBLICO</t>
  </si>
  <si>
    <t>1 1 4 1 008 001</t>
  </si>
  <si>
    <t>DERECHO DE OPERACIÓN Y MANTENIMIENTO DEL ALUMBRADO PUBLICO (DOMAP)</t>
  </si>
  <si>
    <t>1 1 4 1 009</t>
  </si>
  <si>
    <t>POR EL USO DE LA VIA PUBLICA</t>
  </si>
  <si>
    <t>1 1 4 1 009 001</t>
  </si>
  <si>
    <t>COMERCIO AMBULANTE, LOS INSTALADOS EN PUESTOS SEMI-FIJOS EN ZONAS AUTORIZADAS POR EL AYUNTAMIENTO</t>
  </si>
  <si>
    <t>1 1 4 1 009 003</t>
  </si>
  <si>
    <t>COMERCIO AMBULANTE EN LAS CALLES AUTORIZADAS POR EL AYUNTAMIENTO, DENTRO DE LA CABECERA MUNICIPAL DIARIAMENTE</t>
  </si>
  <si>
    <t>1 1 4 1 010</t>
  </si>
  <si>
    <t>CENTRALES DE MAQUINARIA AGRICOLA</t>
  </si>
  <si>
    <t>1 1 4 1 010 001</t>
  </si>
  <si>
    <t>DES. RURAL</t>
  </si>
  <si>
    <t>RASTREO POR HECTARIA O FRACCION</t>
  </si>
  <si>
    <t>1 1 4 1 010 002</t>
  </si>
  <si>
    <t>BARBECHO POR HECTARIA POR FRACCION</t>
  </si>
  <si>
    <t>1 1 4 1 010 003</t>
  </si>
  <si>
    <t>DESGRANADO POR COSTAL</t>
  </si>
  <si>
    <t>1 1 4 3</t>
  </si>
  <si>
    <t>DERECHOS POR PRESTACION DE SERVICIOS</t>
  </si>
  <si>
    <t>1 1 4 3 001</t>
  </si>
  <si>
    <t>POR LA EXPEDICION DE PERMISOS Y REGISTROS EN MATERIA AMBIENTAL</t>
  </si>
  <si>
    <t>1 1 4 3 001 007</t>
  </si>
  <si>
    <t>POZOLERIAS</t>
  </si>
  <si>
    <t>1 1 4 3 001 009</t>
  </si>
  <si>
    <t>DISCOTECAS</t>
  </si>
  <si>
    <t>1 1 4 3 001 010</t>
  </si>
  <si>
    <t>TALLERES MECANICOS</t>
  </si>
  <si>
    <t>1 1 4 3 001 015</t>
  </si>
  <si>
    <t>CARPINTERIA</t>
  </si>
  <si>
    <t>1 1 4 3 001 020</t>
  </si>
  <si>
    <t>DONATIVOS Y LEGADOS</t>
  </si>
  <si>
    <t>1 1 4 3 001 021</t>
  </si>
  <si>
    <t>OTROS PERMISOS EN MATERI AMBIENTAL</t>
  </si>
  <si>
    <t>1 1 4 3 002</t>
  </si>
  <si>
    <t>POR LA EXPEDICION O TRAMITACION DE CONSTANCIAS, CERTIFICACIONES, DUPLICADOS Y COPIAS</t>
  </si>
  <si>
    <t>1 1 4 3 002 002</t>
  </si>
  <si>
    <t>SEC. GENERAL</t>
  </si>
  <si>
    <t>CONSTANCIA DE RESIDENCIA, PARA NACIONALES</t>
  </si>
  <si>
    <t>1 1 4 3 002 003</t>
  </si>
  <si>
    <t>CONSTANCIA DE RESIDENCIA, TRANTANDOSE DE EXTRANJEROS</t>
  </si>
  <si>
    <t>1 1 4 3 002 007</t>
  </si>
  <si>
    <t>CONSTANCIA DE FACTIBILIDAD DE ACTIVIDAD O GIRO COMERCIAL, INDUSTRIAL O DE SERVICIOS, POR APERTURA</t>
  </si>
  <si>
    <t>1 1 4 3 002 010</t>
  </si>
  <si>
    <t>CERTIFICADO DE DEPENDENCIA ECONOMICA NACIONALES</t>
  </si>
  <si>
    <t>1 1 4 3 002 013</t>
  </si>
  <si>
    <t>CERTIFICACION DE DOCUMENTOS QUE ACREDITEN UN ACTO JURIDICO</t>
  </si>
  <si>
    <t>1 1 4 3 002 014</t>
  </si>
  <si>
    <t>CERTIFICACION DE FIRMAS</t>
  </si>
  <si>
    <t>1 1 4 3 002 015</t>
  </si>
  <si>
    <t>COPIAS CERTIFICADAS DE DATOS O DOCUMENTOS QUE OBREN EN LOS ARCHIVOS DEL AYUNTAMIENTO, CUANDO NO EXCEDAN DE TRES HOJAS</t>
  </si>
  <si>
    <t>1 1 4 3 002 016</t>
  </si>
  <si>
    <t>CUANDO EXCEDAN, POR CADA HOJA EXCEDENTE.</t>
  </si>
  <si>
    <t>1 1 4 3 002 023</t>
  </si>
  <si>
    <t>CONSTANCIAS, CERTIFICACIONES O COPIAS CERTIFICADAS NO PREVISTAS EN ESTE CAPÍTULO SIEMPRE Y CUANDO NO SE OPONGAN A LO DISPUESTO EN EL ARTICULO 10-A</t>
  </si>
  <si>
    <t>1 1 4 3 003</t>
  </si>
  <si>
    <t>DERECHOS POR COPIAS DE PLANOS, AVALUOS, Y SERVICIOS CATASTRALES</t>
  </si>
  <si>
    <t>1 1 4 3 003 001</t>
  </si>
  <si>
    <t>CONSTANCIA DE NO ADEUDO DEL IMPUESTO PREDIAL</t>
  </si>
  <si>
    <t>1 1 4 3 003 003</t>
  </si>
  <si>
    <t>CONSTANCIA DE FACTIBILIDAD DE USO DE SUELO</t>
  </si>
  <si>
    <t>1 1 4 3 003 004</t>
  </si>
  <si>
    <t>CONSTANCIA DE NO AFECTACION</t>
  </si>
  <si>
    <t>1 1 4 3 003 005</t>
  </si>
  <si>
    <t>CONSTANCIA DE NUMERO OFICIAL</t>
  </si>
  <si>
    <t>1 1 4 3 003 006</t>
  </si>
  <si>
    <t>CONSTANCIA DE NO ADEUDO DE SERVICIO DE AGUA POTABLE</t>
  </si>
  <si>
    <t>1 1 4 3 003 010</t>
  </si>
  <si>
    <t>CONSTANCIA DE NO SERVICIO DE AGUA POTABLE</t>
  </si>
  <si>
    <t>1 1 4 3 003 012</t>
  </si>
  <si>
    <t>CERTIFICADO DEL VALOR FISCAL DEL PREDIO</t>
  </si>
  <si>
    <t>1 1 4 3 003 013</t>
  </si>
  <si>
    <t>CERTIFICACION DE PLANOS PARA LA AUTORIZACION DE LA SUBDIVISION DE PREDIOS  O PARA EL ESTABLECIMIENTO DE FRACCIONAMIENTOS</t>
  </si>
  <si>
    <t>1 1 4 3 003 014</t>
  </si>
  <si>
    <t>CERTIFICACION DE SUPERFICIE CATASTRAL DE UN PREDIO</t>
  </si>
  <si>
    <t>1 1 4 3 003 015</t>
  </si>
  <si>
    <t>CERTIFICADO DE REGISTRO EN EL PADRON  CATASTRAL A NOMBRE DEL PROPIETARIO O POSEEDOR DE UN PREDIO</t>
  </si>
  <si>
    <t>1 1 4 3 003 017</t>
  </si>
  <si>
    <t>CERTIFICADOS CATASTRALES DE INSCRIPCION, A LOS QUE EXPIDAN POR LA ADQUISICION DE INMUEBLES, A) HASTA $10,791.00, SE COBRARAN</t>
  </si>
  <si>
    <t>1 1 4 3 003 018</t>
  </si>
  <si>
    <t>CERTIFICADOS CATASTRALES DE INSCRIPCION, A LOS QUE EXPIDAN POR LA ADQUISICION DE INMUEBLES, B) HASTA $ 21,582.00, SE COBRARAN</t>
  </si>
  <si>
    <t>1 1 4 3 003 019</t>
  </si>
  <si>
    <t>CERTIFICADOS CATASTRALES DE INSCRIPCION, A LOS QUE EXPIDAN POR LA ADQUISICION DE INMUEBLES, C) HASTA $43,164.00, SE COBRARAN</t>
  </si>
  <si>
    <t>1 1 4 3 003 022</t>
  </si>
  <si>
    <t>DUPLICADOS AUTOGRAFOS AL CARBON DE LOS MISMOS DOCUMENTOS</t>
  </si>
  <si>
    <t>1 1 4 3 003 032</t>
  </si>
  <si>
    <t>POR EL APEO Y DESLINDE ADMINISTRATIVO, SE PAGARA LO EQUIVALENTE AL SUELDO CORRESPONDIENTE DEL INGENIERO TOPOGRAFO</t>
  </si>
  <si>
    <t>1 1 4 3 003 033</t>
  </si>
  <si>
    <t>POR LOS PLANOS DE DESLINDE CATASTRAL</t>
  </si>
  <si>
    <t>1 1 4 3 004</t>
  </si>
  <si>
    <t>SERVICIOS DE LIMPIA, ASEO PUBLICO, RECOLECCION, TRASLADO, TRATAMIENTO Y DISPOSICION FINAL DE RESIDUOS</t>
  </si>
  <si>
    <t>1 1 4 3 004 006</t>
  </si>
  <si>
    <t>POR LA PODA DE ARBOLES Y ARBUSTOS</t>
  </si>
  <si>
    <t>1 1 4 3 003 051</t>
  </si>
  <si>
    <t>DERECHOS DE ESCRITURACION</t>
  </si>
  <si>
    <t>1 1 4 3 003 051 001</t>
  </si>
  <si>
    <t>LOTES HASTA DE 120.01 HASTA 250 MTS. CUADRADOS</t>
  </si>
  <si>
    <t>1 1 4 3 005</t>
  </si>
  <si>
    <t>LICENCIAS PERMISOS DE CIRCULACION Y REPOSICION DE DOCUMENTOS DE TRANSITO</t>
  </si>
  <si>
    <t>1 1 4 3 005 001</t>
  </si>
  <si>
    <t>LICENCIAS PARA MANEJAR</t>
  </si>
  <si>
    <t>1 1 4 3 005 001 001</t>
  </si>
  <si>
    <t>LICENCIAS</t>
  </si>
  <si>
    <t>LICENCIA PARA MANEJAR, CHOFER  5 AÑOS</t>
  </si>
  <si>
    <t>1 1 4 3 005 001 002</t>
  </si>
  <si>
    <t>LICENCIA PARA MANEJAR, CHOFER  3 AÑOS</t>
  </si>
  <si>
    <t>1 1 4 3 005 001 003</t>
  </si>
  <si>
    <t>LICENCIA PARA MANEJAR, AUTOMOVILISTA  5 AÑOS</t>
  </si>
  <si>
    <t>1 1 4 3 005 001 004</t>
  </si>
  <si>
    <t>LICENCIA PARA MANEJAR, AUTOMOVILISTA  3 AÑOS</t>
  </si>
  <si>
    <t>1 1 4 3 005 001 005</t>
  </si>
  <si>
    <t>LICENCIA PARA MANEJAR, MOTOCICLISTA, MOTONETAS O SIMILARES 5 AÑOS</t>
  </si>
  <si>
    <t>1 1 4 3 005 001 006</t>
  </si>
  <si>
    <t>LICENCIA PARA MANEJAR, MOTOCICLISTA, MOTONETAS O SIMILARES 3 AÑOS</t>
  </si>
  <si>
    <t>1 1 4 3 005 001 007</t>
  </si>
  <si>
    <t>DUPLICADO DE LICENCIA POR EXTRAVIO 5 AÑOS</t>
  </si>
  <si>
    <t>1 1 4 3 005 001 008</t>
  </si>
  <si>
    <t>DUPLICADO DE LICENCIA POR EXTRAVIO 3 AÑOS</t>
  </si>
  <si>
    <t>1 1 4 3 005 001 009</t>
  </si>
  <si>
    <t>LICENCIA PARA MENORES DE EDAD HASTA POR 6 MESES</t>
  </si>
  <si>
    <t>1 1 4 3 005 002</t>
  </si>
  <si>
    <t>OTROS SERVICIOS</t>
  </si>
  <si>
    <t>1 1 4 3 005 002 001</t>
  </si>
  <si>
    <t>PERMISO PROVISIONAL PARA CIRCULAR SIN PACAS POR 30 DIAS, UNICAMENTE A MODELOS 2009, 2010 Y 2011</t>
  </si>
  <si>
    <t>1 1 4 3 005 002 010</t>
  </si>
  <si>
    <t>REEXPED. DE PERMISO PROVICIONAL PARA CIRCULAR SIN PLACA POR 30 DIAS</t>
  </si>
  <si>
    <t>1 1 4 3 005 002 011</t>
  </si>
  <si>
    <t>PERMISO PROVICIONAL MOTOCICLISTA X 30 DIAS PARA CIRCULAR SIN PLACAS</t>
  </si>
  <si>
    <t>1 1 4 3 005 002 012</t>
  </si>
  <si>
    <t>PERMISO PROVICIONAL PARA TRASLADO DE VEHICULOS NUEVOS POR 24 HORAS</t>
  </si>
  <si>
    <t>1 1 4 3 005 002 013</t>
  </si>
  <si>
    <t>EXP. DE PERMISO PROVICIONAL P/TRANSP. DE CARGA X 30 DIAS DE PART. NO MATERIAL PELIGROSO</t>
  </si>
  <si>
    <t>1 1 4 3 006</t>
  </si>
  <si>
    <t>EXPEDICION INICIAL O REFRENDO DE LICENCIAS, PERMISOS Y AUTORIZACIONES PARA EL FUNCIONAMIENTO DE ESTABLECIMIENTOS O LOCALES CUYOS GIROS SEAN LA ENAJENACION DE BEBIDAS ALCOHOLICAS O LA PRESTACION DE SERVICIOS QUE INCLUYAN SU EXPENDIO</t>
  </si>
  <si>
    <t>1 1 4 3 006 001</t>
  </si>
  <si>
    <t>ENAJENACION</t>
  </si>
  <si>
    <t>1 1 4 3 006 001 001</t>
  </si>
  <si>
    <t>POR EXPED. INIC.O REF. DE LIC. COMERC. EN LOC. UBIC. FUERA DE MERCADOS.</t>
  </si>
  <si>
    <t>1 1 4 3 006 001 002</t>
  </si>
  <si>
    <t>POR EXPED. INIC.O REF. DE LIC. COMERC. EN LOC. UBIC. DENTRO DE MERCADOS</t>
  </si>
  <si>
    <t>1 1 4 3 006 001 009</t>
  </si>
  <si>
    <t>POR EXPEDICION DE LICENCIA COMERCIAL, MISCELANEAS, TENDAJONES, OASIS Y DEPOSITOS DE CERVEZA, CON VENTA DE BEBIDAS ALCOHOLICAS EN BOTELLA CERRADA PARA LLEVAR</t>
  </si>
  <si>
    <t>1 1 4 3 006 001 010</t>
  </si>
  <si>
    <t>POR EL REFRENDO DE LICENCIA COMERCIAL, MISCELANEAS, TENDAJONES, OASIS Y DEPOSITOS DE CERVEZA, CON VENTA DE BEBIDAS ALCOHOLICAS EN BOTELLA CERRADA PARA LLEVAR</t>
  </si>
  <si>
    <t>1 1 4 3 006 001 019</t>
  </si>
  <si>
    <t>OTROS NO ESP. EXP. DE LICENCIA</t>
  </si>
  <si>
    <t>1 1 4 3 006 002</t>
  </si>
  <si>
    <t>PRESTACION DE SERVICIOS</t>
  </si>
  <si>
    <t>1 1 4 3 006 002 001</t>
  </si>
  <si>
    <t>EXPEDICION  DE LICENCIA , BARES</t>
  </si>
  <si>
    <t>1 1 4 3 006 002 009</t>
  </si>
  <si>
    <t>EXPEDICION  DE LICENCIA, DISCOTECAS</t>
  </si>
  <si>
    <t>1 1 4 3 006 002 011</t>
  </si>
  <si>
    <t>EXPEDICION DE LICENCIA, POZOLERIAS, CEVICHERIAS, OSTIONERIAS Y SIMILARES CON VENTA DE BEBIDAS ALCOHOLICAS CON LOS ALIMENTOS</t>
  </si>
  <si>
    <t>1 1 4 3 006 002 015</t>
  </si>
  <si>
    <t>EXPEDICION DE LICENCIA, RESTAURANTES CON SERVICIO DE BAR</t>
  </si>
  <si>
    <t>1 1 4 3 006 002 021</t>
  </si>
  <si>
    <t>VERIFICACION DE PROTECCION CIVIL TIENDAS DEPARTAMENTALES</t>
  </si>
  <si>
    <t>1 1 4 3 006 003</t>
  </si>
  <si>
    <t>POR CUALQUIER MODIFICACION QUE SUFRA LA LICENCIA O EMPADRONAMIENTO DE LOCALES ESTABLECIDOS FUERA DEL MERCADO MUNICIPAL, PREVIA AUTORIZACION DEL PRESIDENTE MUNICIPAL</t>
  </si>
  <si>
    <t>1 1 4 3 006 003 001</t>
  </si>
  <si>
    <t>CAMBIO DE DOMICILIO</t>
  </si>
  <si>
    <t>1 1 4 3 007</t>
  </si>
  <si>
    <t>POR LICENCIAS, PERMISOS O AUTORIZACIONES PARA LA COLOCACION DE ANUNCIOS O CARTELES Y LA REALIZACION DE PUBLICIDAD</t>
  </si>
  <si>
    <t>1 1 4 3 007 001</t>
  </si>
  <si>
    <t>1 1 4 3 007 001 001</t>
  </si>
  <si>
    <t>ANUNCIOS COMERCIALES O CARTELES EN FACHADAS, MUROS PAREDES O BARDAS, HASTA 5 M2</t>
  </si>
  <si>
    <t>1 1 4 3 007 006</t>
  </si>
  <si>
    <t>POR ANUNCIOS TRANSITORIOS POR MEDIO DE PROPAGANDA EN TABLEROS, VOLANTES Y DEMAS FORMAS SIMILARES</t>
  </si>
  <si>
    <t>1 1 4 3 007 006 001</t>
  </si>
  <si>
    <t>PROMOCIONES DE PROPAGANDA COMERCIAL MEDIANTE CARTULINAS VOLANTES Y SIMILARES</t>
  </si>
  <si>
    <t>1 1 4 3 007 007</t>
  </si>
  <si>
    <t>POR PERIFONEO</t>
  </si>
  <si>
    <t>1 1 4 3 007 007 001</t>
  </si>
  <si>
    <t>AMBULANTE, POR MENSUALIDAD</t>
  </si>
  <si>
    <t>1 1 4 3 007 007 003</t>
  </si>
  <si>
    <t>AMBULANTE, EVENTO ANUNCIADO</t>
  </si>
  <si>
    <t>1 1 4 3 007 007 006</t>
  </si>
  <si>
    <t>FIJO, POR EVENTO ANUNCIADO</t>
  </si>
  <si>
    <t>1 1 4 3 008</t>
  </si>
  <si>
    <t>REGISTRO CIVIL</t>
  </si>
  <si>
    <t>1 1 4 3 008 001</t>
  </si>
  <si>
    <t>POR ADMINISTRACION DEL REGISTRO CIVIL</t>
  </si>
  <si>
    <t>1 1 4 3 008 001 001</t>
  </si>
  <si>
    <t>REGISTROS DE NACIMIENTO</t>
  </si>
  <si>
    <t>1 1 4 3 008 001 001 001</t>
  </si>
  <si>
    <t>REGISTRO DE NACIMIENTO DE 1 DIA DE NACIDO HASTA 1 AÑO</t>
  </si>
  <si>
    <t>1 1 4 3 008 001 001 002</t>
  </si>
  <si>
    <t>REGISTRO DE NACIMIENTO DE 1 AÑO 1 DIA DE NACIDO HASTA LOS 7 AÑOS 11 MESES</t>
  </si>
  <si>
    <t>1 1 4 3 008 001 001 003</t>
  </si>
  <si>
    <t>REGISTRO DE NACIMIENTO EXTEMPORANEO DESPUES DE LOS 7 AÑOS 11 MESES 1 DIA DE EDAD, CON AUTORIZACION ADMINISTRATIVA O INFORMACION TESTIMONIAL</t>
  </si>
  <si>
    <t>1 1 4 3 008 001 002</t>
  </si>
  <si>
    <t>REGISTRO DE LEGITIMACION Y RECONOCIMIENTO DE HIJOS</t>
  </si>
  <si>
    <t>1 1 4 3 008 001 004</t>
  </si>
  <si>
    <t>MATRIMONIOS</t>
  </si>
  <si>
    <t>1 1 4 3 008 001 004 001</t>
  </si>
  <si>
    <t>EN LA OFICINA ENTRE NACIONALES</t>
  </si>
  <si>
    <t>1 1 4 3 008 001 004 002</t>
  </si>
  <si>
    <t>A DOMICILIO</t>
  </si>
  <si>
    <t>1 1 4 3 008 001 004 003</t>
  </si>
  <si>
    <t>ENTRE EXTRANJEROS EN LA OFICINA</t>
  </si>
  <si>
    <t>1 1 4 3 008 001 005</t>
  </si>
  <si>
    <t>REGISTROS DE DIVORCIO</t>
  </si>
  <si>
    <t>1 1 4 3 008 001 005 001</t>
  </si>
  <si>
    <t>DIVORCIO JUDICIAL ENTRE NACIONALES</t>
  </si>
  <si>
    <t>1 1 4 3 008 001 005 003</t>
  </si>
  <si>
    <t>DIVORCIO ADMINISTRATIVO ENTRE NACIONALES</t>
  </si>
  <si>
    <t>1 1 4 3 008 001 007</t>
  </si>
  <si>
    <t>REGISTRO DE INSCRIPCION</t>
  </si>
  <si>
    <t>1 1 4 3 008 001 009</t>
  </si>
  <si>
    <t>OTROS: NO CAUSAN IMPUESTOS ADICIONALES LOS CONCEPTO DEL INCISO 1 DEL ART. 84 DE LA LEY DE HACIENDA DEL ESTADO</t>
  </si>
  <si>
    <t>1 1 4 3 008 001 009 001</t>
  </si>
  <si>
    <t>EXPEDICION DE ACTAS CERTIFICADAS</t>
  </si>
  <si>
    <t>1 1 4 3 008 001 009 002</t>
  </si>
  <si>
    <t>CONSTANCIAS DE INEXISTENCIA DEL REGISTRO</t>
  </si>
  <si>
    <t>1 1 4 3 008 001 009 005</t>
  </si>
  <si>
    <t>ANOTACIONES MARGINALES DE ACTAS DE REGISTRO CIVIL</t>
  </si>
  <si>
    <t>1 1 4 3 008 001 009 009</t>
  </si>
  <si>
    <t>OTROS SERVICIOS NO EXPECIFICADOS</t>
  </si>
  <si>
    <t>1 1 4 3 008 001 009 010</t>
  </si>
  <si>
    <t>CUALQUIER OTRA CERTIFICACION QUE SE EXPIDA DISTINTA DE LAS EXPRESADAS</t>
  </si>
  <si>
    <t>1 1 4 3 010</t>
  </si>
  <si>
    <t>SERVICIOS MUNICIPALES DE SALUD</t>
  </si>
  <si>
    <t>1 1 4 3 010 003</t>
  </si>
  <si>
    <t>OTROS SERVICIOS MEDICOS</t>
  </si>
  <si>
    <t>1 1 4 3 011</t>
  </si>
  <si>
    <t>1 1 4 3 011 001</t>
  </si>
  <si>
    <t>LOTES HASTA 120 Mts CUADRADOS</t>
  </si>
  <si>
    <t>1 1 4 3 011 002</t>
  </si>
  <si>
    <t>LOTES DE 120.01 HASTA 250 Mts CUADRADOS</t>
  </si>
  <si>
    <t>1 1 4 4</t>
  </si>
  <si>
    <t>OTROS DERECHOS</t>
  </si>
  <si>
    <t>1 1 4 4 002</t>
  </si>
  <si>
    <t>PRO-BOMBEROS</t>
  </si>
  <si>
    <t>1 1 4 4 002 001</t>
  </si>
  <si>
    <t>1 1 4 4 004</t>
  </si>
  <si>
    <t>PRO-ECOLOGIA</t>
  </si>
  <si>
    <t>1 1 4 4 004 001</t>
  </si>
  <si>
    <t>POR VERIFICACION PARA ESTABLECIMIENTO DE UN NUEVO O AMPLIACION DE OBRAS, SERVICIOS, INDUSTRIA Y COMERCIO</t>
  </si>
  <si>
    <t>1 1 4 4 004 002</t>
  </si>
  <si>
    <t>POR PERMISOS PARA PODA DE ARBOL PUBLICO O PRIVADO</t>
  </si>
  <si>
    <t>1 1 4 4 004 003</t>
  </si>
  <si>
    <t>POR PERMISO POR DERRIBA DE ARBOL PUBLICO O PRIVADO, POR CM DE DIAMETRO</t>
  </si>
  <si>
    <t>1 1 4 4 004 004</t>
  </si>
  <si>
    <t>POR LICENCIA AMBIENTAL NO RESERVADA A LA FEDERACION</t>
  </si>
  <si>
    <t>1 1 4 4 004 006</t>
  </si>
  <si>
    <t>POR SOLICITUD DE REGISTRO DE DESCARGA DE AGUAS RESIDUALES</t>
  </si>
  <si>
    <t>1 1 4 4 004 010</t>
  </si>
  <si>
    <t>POR EXTRACCION DE FLORA NO RESERVADA A LA FEDERACION EN EL MUNICIPIO</t>
  </si>
  <si>
    <t>1 1 4 4 004 014</t>
  </si>
  <si>
    <t>POR DICTAMENES PARA CAMBIOS DE USO DE SUELO</t>
  </si>
  <si>
    <t>1 1 4 4 006</t>
  </si>
  <si>
    <t>1 1 4 4 006 001</t>
  </si>
  <si>
    <t>1 1 4 4 006 001 001</t>
  </si>
  <si>
    <t>DE PARTICULARES</t>
  </si>
  <si>
    <t>1 1 5</t>
  </si>
  <si>
    <t>PRODUCTOS</t>
  </si>
  <si>
    <t>1 1 5 1</t>
  </si>
  <si>
    <t>PRODUCTOS DE TIPO CORRIENTE</t>
  </si>
  <si>
    <t>1 1 5 1 001</t>
  </si>
  <si>
    <t>ARRENDAMIENTO</t>
  </si>
  <si>
    <t>1 1 5 1 001 001</t>
  </si>
  <si>
    <t>MERCADO CENTRAL</t>
  </si>
  <si>
    <t>1 1 5 1 001 005</t>
  </si>
  <si>
    <t>TIANGUIS EN ESPACIOS AUTORIZADOS POR EL AYUNTAMIENTO, DIARIAMENTE POR M2</t>
  </si>
  <si>
    <t>1 1 5 1 001 008</t>
  </si>
  <si>
    <t>SANITARIOS</t>
  </si>
  <si>
    <t>1 1 5 1 001 011</t>
  </si>
  <si>
    <t>RENTA DE MAQUINARIA PESADA</t>
  </si>
  <si>
    <t>1 1 5 1 001 013</t>
  </si>
  <si>
    <t>EXPLANADAS PLAZAS Y PLAZUELAS</t>
  </si>
  <si>
    <t>1 1 5 1 002</t>
  </si>
  <si>
    <t>POR LOTES EN PROPIEDAD O ARRENDAMIENTO EN LOS CEMENTERIOS MUNICIPALES POR LA CONSTRUCCION DE FOSAS</t>
  </si>
  <si>
    <t>1 1 5 1 002 001</t>
  </si>
  <si>
    <t>FOSA EN PROPIEDAD POR M2., PRIMERA</t>
  </si>
  <si>
    <t>1 1 5 1 002 002</t>
  </si>
  <si>
    <t>VENTA DE NICHO DE 30X30 DE FRENTE POR 60 CMS DE FONDO</t>
  </si>
  <si>
    <t>1 1 5 1 002 003</t>
  </si>
  <si>
    <t>ARRENDAMIENTO POR UN AÑO NICHO DE 30X30 DE FRENTE POR 60 CMS DE FONDO</t>
  </si>
  <si>
    <t>1 1 5 1 002 004</t>
  </si>
  <si>
    <t>ARRENDAMIENTO POR CINCO AÑOS NICHO DE 30X30 DE FRENTE POR 60 CMS DE FONDO</t>
  </si>
  <si>
    <t>1 1 5 1 003</t>
  </si>
  <si>
    <t>OCUPACION O APROVECHAMIENTO DE LA VIA PUBLICA</t>
  </si>
  <si>
    <t>1 1 5 1 003 001</t>
  </si>
  <si>
    <t>ESTACIONAMIENTO DE VEHICULOS EN EN ZONAS URBANAS, DE 8:00 A LAS 21:00 HORAS, EXCEPTO DOMINGO Y DIAS FESTIVOS, POR CADA 3 MINUTOS</t>
  </si>
  <si>
    <t>1 1 5 1 003 006</t>
  </si>
  <si>
    <t>EN LOS ESTACIONAMIENTOS EXCLUSIVOS EN LA VIA PUBLICA, LOS AUTOMOVILES DE ALQUILER, CAMIONETAS DE SERVICIO PUBLICO, MENSUALMENTE</t>
  </si>
  <si>
    <t>1 1 5 1 003 013</t>
  </si>
  <si>
    <t>LOS ESTACIONAMIENTOS EN LA VIA PUBLICA DE TODA CLASE DE VEHICULOS DE ALQUILER, NO ESPECIFICADOS PAGARAN POR CADA VEHICULO UNA CUATA SEMESTRAL</t>
  </si>
  <si>
    <t>1 1 5 1 003 014</t>
  </si>
  <si>
    <t>POR OCUPACION DE LA VIA PUBLICA CON TAPIALES O MATERIALES DE CONSTRUCCION POR M2 POR DIA</t>
  </si>
  <si>
    <t>1 1 5 1 004</t>
  </si>
  <si>
    <t>1 1 5 1 004 001</t>
  </si>
  <si>
    <t>SERVICIO DE VIAJE ESPECIAL FUERA DEL AREA MUNICIPAL</t>
  </si>
  <si>
    <t>1 1 5 1 006</t>
  </si>
  <si>
    <t>ARRENDAMIENTO, EXPLOTACION O VENTA DE BIENES MUEBLES</t>
  </si>
  <si>
    <t>1 1 5 1 006 001</t>
  </si>
  <si>
    <t>BIENES MUEBLES</t>
  </si>
  <si>
    <t>1 1 5 1 006 001 001</t>
  </si>
  <si>
    <t>1 1 5 1 014</t>
  </si>
  <si>
    <t>ADQUISICIONES PARA VENTA DE APOYO A LAS COMUNIDADES</t>
  </si>
  <si>
    <t>1 1 5 1 014 007</t>
  </si>
  <si>
    <t>APEROS AGRICOLAS</t>
  </si>
  <si>
    <t>1 1 5 1 014 008</t>
  </si>
  <si>
    <t>MATERIALES CONGREGACIÓN MARIANA TRINITARIA</t>
  </si>
  <si>
    <t>1 1 5 1 014 009</t>
  </si>
  <si>
    <t>APORTACION DE BENEFICIARIOS PARA PROYECTOS PRODUCTIVOS</t>
  </si>
  <si>
    <t>1 1 5 1 015</t>
  </si>
  <si>
    <t>PRODUCTOS DIVERSOS</t>
  </si>
  <si>
    <t>1 1 5 1 015 006</t>
  </si>
  <si>
    <t>VENTA DE FORMAS IMPRESAS POR JUEGOS</t>
  </si>
  <si>
    <t>1 1 5 1 015 009</t>
  </si>
  <si>
    <t>FORMATO DE LICENCIA</t>
  </si>
  <si>
    <t>1 1 5 1 015 011</t>
  </si>
  <si>
    <t>FORMAS DEL REGISTRO CIVIL</t>
  </si>
  <si>
    <t>1 1 5 1 015 012</t>
  </si>
  <si>
    <t>COPIAS FOTOSTATICAS</t>
  </si>
  <si>
    <t>1 1 5 1 016</t>
  </si>
  <si>
    <t>PRODUCTOS FINANCIEROS</t>
  </si>
  <si>
    <t>1 1 5 1 016 001</t>
  </si>
  <si>
    <t>GASTO CORRIENTE</t>
  </si>
  <si>
    <t>1 1 5 1 016 001 001</t>
  </si>
  <si>
    <t>INTERESES POR PRODUCTOS FINANCIEROS</t>
  </si>
  <si>
    <t>1 1 5 1 016 002</t>
  </si>
  <si>
    <t>FONDO DE INFRAESTRUCTURA SOCIAL MUNICIPAL</t>
  </si>
  <si>
    <t>1 1 5 1 016 002 001</t>
  </si>
  <si>
    <t>INTERERES POR PRODUCTOS FINANCIEROS</t>
  </si>
  <si>
    <t>1 1 5 1 016 005</t>
  </si>
  <si>
    <t>INGRESOS PROPIOS</t>
  </si>
  <si>
    <t>1 1 5 1 016 005 001</t>
  </si>
  <si>
    <t>INTERES GANADOS POR PRODUCTOS FINANCIEROS</t>
  </si>
  <si>
    <t>1 1 6</t>
  </si>
  <si>
    <t>APROVECHAMIENTOS</t>
  </si>
  <si>
    <t>1 1 6 1</t>
  </si>
  <si>
    <t>APROVECHAMIENTOS DE TIPO CORRIENTE</t>
  </si>
  <si>
    <t>1 1 6 1 001</t>
  </si>
  <si>
    <t>1 1 6 1 001 001</t>
  </si>
  <si>
    <t>1 1 6 1 001 002</t>
  </si>
  <si>
    <t>1 1 6 1 001 003</t>
  </si>
  <si>
    <t>1 1 6 1 001 004</t>
  </si>
  <si>
    <t>1 1 6 1 001 005</t>
  </si>
  <si>
    <t>1 1 6 1 001 006</t>
  </si>
  <si>
    <t>1 1 6 1 002</t>
  </si>
  <si>
    <t>MULTAS ADMINISTRATIVAS</t>
  </si>
  <si>
    <t>1 1 6 1 002 001</t>
  </si>
  <si>
    <t>SEG. PUBLICA</t>
  </si>
  <si>
    <t>LOS QUE TRANSG. ESTAB.EN EL BDO.POLIC.GO</t>
  </si>
  <si>
    <t>1 1 6 1 008</t>
  </si>
  <si>
    <t>1 1 6 1 008 001</t>
  </si>
  <si>
    <t>PARTICULARES</t>
  </si>
  <si>
    <t>1 1 6 1 008 004</t>
  </si>
  <si>
    <t>DONATIVO POR SERV. DE AMBULANCIA</t>
  </si>
  <si>
    <t>1 1 6 1 009</t>
  </si>
  <si>
    <t>BIENES MOSTRENCOS</t>
  </si>
  <si>
    <t>1 1 6 1 009 002</t>
  </si>
  <si>
    <t>CABILDO</t>
  </si>
  <si>
    <t>VENTA DE BIENES MUEBLES</t>
  </si>
  <si>
    <t>1 1 6 1 010</t>
  </si>
  <si>
    <t>INDEMNIZACION POR DAÑOS CAUSADOS A BIENES MUNICIPALES</t>
  </si>
  <si>
    <t>1 1 6 1 010 001</t>
  </si>
  <si>
    <t>DAÑOS CAUSADOS A BIENES PROPIEDAD DEL MUNICIPIO</t>
  </si>
  <si>
    <t>1 1 7</t>
  </si>
  <si>
    <t>INGRESOS POR VENTA DE BIENES Y SERVICIOS DE ORGANISMOS DESCENTRALIZADOS</t>
  </si>
  <si>
    <t>1 1 7 9</t>
  </si>
  <si>
    <t>IMPUESTOS, PRODUCTOS Y APROVECHAMIENTOS CAUSADOS EN EJERCICIOS FISCALES ANTERIORES PENDIENTES DE PAGO</t>
  </si>
  <si>
    <t>1 1 7 9 003</t>
  </si>
  <si>
    <t>APROVECHAMIENTOS CAUSADOS EN EJERCICIOS FISCALES ANTERIORES</t>
  </si>
  <si>
    <t>1 1 7 9 003 001</t>
  </si>
  <si>
    <t>INCENTIVOS DERIVADOS DE LA COLABORACION FISCAL</t>
  </si>
  <si>
    <t>119 1</t>
  </si>
  <si>
    <t>FONDO DE RECAUDACION DEL ISR</t>
  </si>
  <si>
    <t>1 1 8</t>
  </si>
  <si>
    <t>PARTICIPACIONES Y APORTACIONES</t>
  </si>
  <si>
    <t>1 1 8 1</t>
  </si>
  <si>
    <t>PARTICIPACIONES</t>
  </si>
  <si>
    <t>1 1 8 1 001</t>
  </si>
  <si>
    <t>LAS PROV DEL FONDO GRAL DE PARTICIPACION</t>
  </si>
  <si>
    <t>1 1 8 1 001 001</t>
  </si>
  <si>
    <t>FONDO COMUN</t>
  </si>
  <si>
    <t>1 1 8 1 001 001 001</t>
  </si>
  <si>
    <t>IEPS COMPENSACION-ISAN</t>
  </si>
  <si>
    <t>1 1 8 1 001 001 002</t>
  </si>
  <si>
    <t>ISAN-TENENCIA</t>
  </si>
  <si>
    <t>1 1 8 1 001 001 003</t>
  </si>
  <si>
    <t>IMPUESTO ESPECIAL SOBRE PRODUCCION Y SERVICIOS IEPS / COMPENSACION ISAN</t>
  </si>
  <si>
    <t>1 1 8 1 001 002</t>
  </si>
  <si>
    <t>FONDO DE FOMENTO MUNICIPAL</t>
  </si>
  <si>
    <t>1 1 8 1 001 003</t>
  </si>
  <si>
    <t>FONDO PARA LA NFRAESTRUCTURA A MUNICIPIOS</t>
  </si>
  <si>
    <t>1 1 8 1 001 004</t>
  </si>
  <si>
    <t>FONDO DE FISCALIZACION</t>
  </si>
  <si>
    <t>1 1 8 1 001 007</t>
  </si>
  <si>
    <t>FONDO GENERAL DE PARTICIPACIONES</t>
  </si>
  <si>
    <t>1 1 8 1 001 008</t>
  </si>
  <si>
    <t>FONDO D APORTACIONES ESTATALES PARA LA INFRAESTRUC. SOCIAL MPAL. (GAS. Y DISEL)</t>
  </si>
  <si>
    <t>1 1 8 1 001 010</t>
  </si>
  <si>
    <t>1 1 8 1 001 011</t>
  </si>
  <si>
    <t>CAPITAL FONDO DE PÀRTICIPACIONES FEDERALES A MUNICIPIOS CUENTA PUBLICA</t>
  </si>
  <si>
    <t>1 1 8 1 001 012</t>
  </si>
  <si>
    <t xml:space="preserve">RENDIMIENTOS FINANCIEROS FONDO DE PARTICIPACIONES FEDERALES A MUNICIPIOS CUENTA PUBLICA </t>
  </si>
  <si>
    <t>1 1 8 1 001 013</t>
  </si>
  <si>
    <t xml:space="preserve">ART. 4A FRAC. I LCF (GASOLINAS)
</t>
  </si>
  <si>
    <t>1 1 8 1 001 014</t>
  </si>
  <si>
    <t xml:space="preserve">ART. 4A FRAC. II LCF (FOCO)
</t>
  </si>
  <si>
    <t>1 1 8 1 001 015</t>
  </si>
  <si>
    <t xml:space="preserve">FONDO DE COMPENSACION ISAN
</t>
  </si>
  <si>
    <t>1 1 8 1 001 016</t>
  </si>
  <si>
    <t>FONDO DE ESTABILIZACION DE LOS INGRESOS DE LAS ENTIDADES FEDERALES</t>
  </si>
  <si>
    <t>1 1 8 1 001 017</t>
  </si>
  <si>
    <t xml:space="preserve">FONDO COMUN "I.S.A.N."
</t>
  </si>
  <si>
    <t>1 1 8 2</t>
  </si>
  <si>
    <t>APORTACIONES</t>
  </si>
  <si>
    <t>1 1 8 2 001</t>
  </si>
  <si>
    <t>FONDO DE APORT P/INFRA SOC MPAL</t>
  </si>
  <si>
    <t>1 1 8 2 001 001</t>
  </si>
  <si>
    <t>APORTACIONES PARA LA INFRAESTRUCTURA SOCIAL MUNICIPAL</t>
  </si>
  <si>
    <t>1 1 8 2 002</t>
  </si>
  <si>
    <t>FONDO DE APORTACIONES PARA EL FORTALECIMIENTO DE LOS MUNICIPIOS</t>
  </si>
  <si>
    <t>1 1 8 2 002 001</t>
  </si>
  <si>
    <t>APORTACIONES PARA EL FORTALECIMIENTO DE LOS MUNICIPIOS</t>
  </si>
  <si>
    <t>1 1 8 3</t>
  </si>
  <si>
    <t>Convenios</t>
  </si>
  <si>
    <t>1 1 8 3 001</t>
  </si>
  <si>
    <t>PROVENIENTES DEL GOBIERNO DEL ESTADO</t>
  </si>
  <si>
    <t>1 1 8 3 001 003</t>
  </si>
  <si>
    <t>GOBIERNO DEL ESTADO</t>
  </si>
  <si>
    <t>1 1 8 3 001 003 001</t>
  </si>
  <si>
    <t>SEMARNAT CONAGUA DIRECCION LOCAL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</si>
</sst>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0\ _P_t_s_-;\-* #,##0.00\ _P_t_s_-;_-* &quot;-&quot;??\ _P_t_s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u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wrapText="1"/>
    </xf>
    <xf numFmtId="4" fontId="2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4" fontId="4" fillId="0" borderId="0" xfId="0" applyNumberFormat="1" applyFont="1" applyAlignment="1">
      <alignment horizontal="right" vertical="center"/>
    </xf>
    <xf numFmtId="43" fontId="2" fillId="0" borderId="0" xfId="1" applyFont="1" applyFill="1" applyBorder="1"/>
    <xf numFmtId="0" fontId="0" fillId="2" borderId="4" xfId="0" applyFill="1" applyBorder="1"/>
    <xf numFmtId="0" fontId="5" fillId="2" borderId="0" xfId="0" applyFont="1" applyFill="1" applyAlignment="1">
      <alignment vertical="top"/>
    </xf>
    <xf numFmtId="0" fontId="0" fillId="2" borderId="5" xfId="0" applyFill="1" applyBorder="1"/>
    <xf numFmtId="43" fontId="0" fillId="0" borderId="0" xfId="1" applyFont="1" applyFill="1" applyBorder="1"/>
    <xf numFmtId="0" fontId="6" fillId="2" borderId="4" xfId="0" applyFont="1" applyFill="1" applyBorder="1"/>
    <xf numFmtId="0" fontId="7" fillId="2" borderId="0" xfId="0" applyFont="1" applyFill="1" applyAlignment="1">
      <alignment horizontal="center" vertical="top"/>
    </xf>
    <xf numFmtId="0" fontId="6" fillId="2" borderId="5" xfId="0" applyFont="1" applyFill="1" applyBorder="1"/>
    <xf numFmtId="0" fontId="6" fillId="0" borderId="0" xfId="0" applyFont="1"/>
    <xf numFmtId="43" fontId="6" fillId="0" borderId="0" xfId="1" applyFont="1" applyFill="1" applyBorder="1"/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0" fillId="2" borderId="6" xfId="0" applyFill="1" applyBorder="1"/>
    <xf numFmtId="0" fontId="8" fillId="2" borderId="7" xfId="0" applyFont="1" applyFill="1" applyBorder="1" applyAlignment="1">
      <alignment horizontal="center" vertical="top"/>
    </xf>
    <xf numFmtId="0" fontId="0" fillId="2" borderId="8" xfId="0" applyFill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0" fillId="0" borderId="0" xfId="0" applyNumberFormat="1"/>
    <xf numFmtId="43" fontId="0" fillId="0" borderId="0" xfId="1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top"/>
    </xf>
    <xf numFmtId="0" fontId="11" fillId="2" borderId="11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43" fontId="2" fillId="0" borderId="0" xfId="1" applyFont="1" applyBorder="1" applyAlignment="1">
      <alignment vertical="top"/>
    </xf>
    <xf numFmtId="0" fontId="12" fillId="3" borderId="12" xfId="0" applyFont="1" applyFill="1" applyBorder="1" applyAlignment="1">
      <alignment horizontal="left" vertical="top"/>
    </xf>
    <xf numFmtId="0" fontId="12" fillId="3" borderId="12" xfId="0" quotePrefix="1" applyFont="1" applyFill="1" applyBorder="1" applyAlignment="1">
      <alignment horizontal="left" vertical="top"/>
    </xf>
    <xf numFmtId="4" fontId="13" fillId="3" borderId="12" xfId="0" quotePrefix="1" applyNumberFormat="1" applyFont="1" applyFill="1" applyBorder="1" applyAlignment="1">
      <alignment vertical="top"/>
    </xf>
    <xf numFmtId="4" fontId="14" fillId="2" borderId="12" xfId="0" quotePrefix="1" applyNumberFormat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4" fontId="13" fillId="0" borderId="12" xfId="0" applyNumberFormat="1" applyFont="1" applyBorder="1" applyAlignment="1">
      <alignment horizontal="right" vertical="center"/>
    </xf>
    <xf numFmtId="4" fontId="14" fillId="0" borderId="12" xfId="0" applyNumberFormat="1" applyFont="1" applyBorder="1" applyAlignment="1">
      <alignment horizontal="right" vertical="center"/>
    </xf>
    <xf numFmtId="0" fontId="2" fillId="4" borderId="0" xfId="0" applyFont="1" applyFill="1" applyAlignment="1">
      <alignment vertical="top"/>
    </xf>
    <xf numFmtId="0" fontId="14" fillId="3" borderId="12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4" fontId="13" fillId="3" borderId="12" xfId="0" applyNumberFormat="1" applyFont="1" applyFill="1" applyBorder="1" applyAlignment="1">
      <alignment horizontal="right" vertical="center"/>
    </xf>
    <xf numFmtId="4" fontId="14" fillId="4" borderId="12" xfId="0" applyNumberFormat="1" applyFont="1" applyFill="1" applyBorder="1" applyAlignment="1">
      <alignment horizontal="right" vertical="center"/>
    </xf>
    <xf numFmtId="43" fontId="2" fillId="4" borderId="0" xfId="1" applyFont="1" applyFill="1" applyBorder="1" applyAlignment="1">
      <alignment vertical="top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" fontId="2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9" fontId="2" fillId="0" borderId="0" xfId="1" applyNumberFormat="1" applyFont="1" applyBorder="1" applyAlignment="1">
      <alignment vertical="top"/>
    </xf>
    <xf numFmtId="9" fontId="4" fillId="0" borderId="0" xfId="2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3" fontId="14" fillId="0" borderId="0" xfId="1" applyFont="1" applyAlignment="1">
      <alignment horizontal="right" vertical="center"/>
    </xf>
    <xf numFmtId="4" fontId="2" fillId="4" borderId="0" xfId="0" applyNumberFormat="1" applyFont="1" applyFill="1" applyAlignment="1">
      <alignment vertical="top"/>
    </xf>
    <xf numFmtId="0" fontId="16" fillId="0" borderId="12" xfId="0" applyFont="1" applyBorder="1" applyAlignment="1">
      <alignment horizontal="left" vertical="center"/>
    </xf>
    <xf numFmtId="164" fontId="13" fillId="0" borderId="12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0" fontId="2" fillId="3" borderId="0" xfId="0" applyFont="1" applyFill="1" applyAlignment="1">
      <alignment vertical="top"/>
    </xf>
    <xf numFmtId="0" fontId="14" fillId="0" borderId="0" xfId="0" applyFont="1" applyAlignment="1">
      <alignment horizontal="left" vertical="center"/>
    </xf>
    <xf numFmtId="4" fontId="14" fillId="3" borderId="12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4" fontId="14" fillId="3" borderId="0" xfId="0" applyNumberFormat="1" applyFont="1" applyFill="1" applyAlignment="1">
      <alignment horizontal="right" vertical="center"/>
    </xf>
    <xf numFmtId="4" fontId="14" fillId="4" borderId="0" xfId="0" applyNumberFormat="1" applyFont="1" applyFill="1" applyAlignment="1">
      <alignment horizontal="right" vertical="center"/>
    </xf>
    <xf numFmtId="0" fontId="14" fillId="4" borderId="12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4" fontId="13" fillId="4" borderId="12" xfId="0" applyNumberFormat="1" applyFont="1" applyFill="1" applyBorder="1" applyAlignment="1">
      <alignment horizontal="right" vertical="center"/>
    </xf>
    <xf numFmtId="165" fontId="2" fillId="0" borderId="0" xfId="3" applyFont="1" applyBorder="1" applyAlignment="1">
      <alignment vertical="top"/>
    </xf>
    <xf numFmtId="43" fontId="2" fillId="0" borderId="0" xfId="0" applyNumberFormat="1" applyFont="1" applyAlignment="1">
      <alignment vertical="top"/>
    </xf>
    <xf numFmtId="0" fontId="2" fillId="0" borderId="0" xfId="0" quotePrefix="1" applyFont="1" applyAlignment="1">
      <alignment vertical="top"/>
    </xf>
    <xf numFmtId="0" fontId="3" fillId="0" borderId="0" xfId="0" applyFont="1" applyAlignment="1">
      <alignment vertical="top" wrapText="1"/>
    </xf>
    <xf numFmtId="4" fontId="2" fillId="0" borderId="0" xfId="0" quotePrefix="1" applyNumberFormat="1" applyFont="1" applyAlignment="1">
      <alignment vertical="top"/>
    </xf>
    <xf numFmtId="4" fontId="13" fillId="0" borderId="0" xfId="0" quotePrefix="1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0" fontId="13" fillId="0" borderId="0" xfId="0" quotePrefix="1" applyFont="1" applyAlignment="1">
      <alignment vertical="top"/>
    </xf>
    <xf numFmtId="0" fontId="13" fillId="0" borderId="0" xfId="0" applyFont="1" applyAlignment="1">
      <alignment vertical="top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ESUPUESTOS%202022\PRESUP.%20INGRESOS%20Y%20EGRESOS%20PILCAYA%202022\PRESUP.%20INGRESOS%20PILCAYA%202022\3.%20PRESUPUESTO%20DE%20IN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PRINC."/>
      <sheetName val="CARATULA ACTA DE CABILDO"/>
      <sheetName val="CARATULA TABLA"/>
      <sheetName val="CARATULA INICIATIVA"/>
      <sheetName val="CARATULA"/>
      <sheetName val="HISTORICO PRESUP"/>
      <sheetName val="RESULT 2018-2021"/>
      <sheetName val="PROYEC. ING. 2022-2023"/>
      <sheetName val="JUSTIF. TEC. ING-PRESUP"/>
      <sheetName val="RESULT.2019"/>
      <sheetName val="RESULTADOS 2020"/>
      <sheetName val="RESULT. 2021"/>
      <sheetName val="BASE MENSUAL 2022 PRESUP."/>
      <sheetName val="EDICTO "/>
      <sheetName val="presup 2022"/>
      <sheetName val="INICIATIVA P-LEY2022"/>
      <sheetName val="RESUMEN-INICIATIVA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L19">
            <v>0</v>
          </cell>
        </row>
        <row r="20">
          <cell r="L20">
            <v>300</v>
          </cell>
        </row>
        <row r="21">
          <cell r="L21">
            <v>300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100</v>
          </cell>
        </row>
        <row r="25">
          <cell r="L25">
            <v>100</v>
          </cell>
        </row>
        <row r="26">
          <cell r="L26">
            <v>100</v>
          </cell>
        </row>
        <row r="29">
          <cell r="L29">
            <v>46141.249999999993</v>
          </cell>
        </row>
        <row r="31">
          <cell r="L31">
            <v>154629.24</v>
          </cell>
        </row>
        <row r="33">
          <cell r="L33">
            <v>134384.68000000002</v>
          </cell>
        </row>
        <row r="34">
          <cell r="L34">
            <v>808.74</v>
          </cell>
        </row>
        <row r="35">
          <cell r="L35">
            <v>3227.5000000000005</v>
          </cell>
        </row>
        <row r="37">
          <cell r="L37">
            <v>3005.4</v>
          </cell>
        </row>
        <row r="38">
          <cell r="L38">
            <v>90043.920000000013</v>
          </cell>
        </row>
        <row r="39">
          <cell r="L39">
            <v>0</v>
          </cell>
        </row>
        <row r="40">
          <cell r="L40">
            <v>0</v>
          </cell>
        </row>
        <row r="44">
          <cell r="L44">
            <v>227653.09999999995</v>
          </cell>
        </row>
        <row r="46">
          <cell r="L46">
            <v>154563.64999999997</v>
          </cell>
        </row>
        <row r="63">
          <cell r="L63">
            <v>84744.659999999989</v>
          </cell>
        </row>
        <row r="64">
          <cell r="L64">
            <v>84744.659999999989</v>
          </cell>
        </row>
        <row r="65">
          <cell r="L65">
            <v>0</v>
          </cell>
        </row>
        <row r="66">
          <cell r="L66">
            <v>34147.97</v>
          </cell>
        </row>
        <row r="67">
          <cell r="L67">
            <v>34147.97</v>
          </cell>
        </row>
        <row r="69">
          <cell r="L69">
            <v>677464.46000000008</v>
          </cell>
        </row>
        <row r="70">
          <cell r="L70">
            <v>677464.46000000008</v>
          </cell>
        </row>
        <row r="72">
          <cell r="L72">
            <v>131636.29</v>
          </cell>
        </row>
        <row r="73">
          <cell r="L73">
            <v>11406.18</v>
          </cell>
        </row>
        <row r="78">
          <cell r="L78">
            <v>0</v>
          </cell>
        </row>
        <row r="80">
          <cell r="L80">
            <v>370695.72000000003</v>
          </cell>
        </row>
        <row r="82">
          <cell r="L82">
            <v>963.13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3381.3</v>
          </cell>
        </row>
        <row r="87">
          <cell r="L87">
            <v>3809.7000000000003</v>
          </cell>
        </row>
        <row r="88">
          <cell r="L88">
            <v>403.01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414.78999999999996</v>
          </cell>
        </row>
        <row r="92">
          <cell r="L92">
            <v>133</v>
          </cell>
        </row>
        <row r="94">
          <cell r="L94">
            <v>0</v>
          </cell>
        </row>
        <row r="96">
          <cell r="L96">
            <v>239.39</v>
          </cell>
        </row>
        <row r="98">
          <cell r="L98">
            <v>5127.7699999999995</v>
          </cell>
        </row>
        <row r="103">
          <cell r="L103">
            <v>89810.390000000014</v>
          </cell>
        </row>
        <row r="104">
          <cell r="L104">
            <v>1600</v>
          </cell>
        </row>
        <row r="106">
          <cell r="L106">
            <v>53.04</v>
          </cell>
        </row>
        <row r="108">
          <cell r="L108">
            <v>318829.42999999988</v>
          </cell>
        </row>
        <row r="109">
          <cell r="L109">
            <v>9791.2800000000007</v>
          </cell>
        </row>
        <row r="110">
          <cell r="L110">
            <v>9218.7999999999993</v>
          </cell>
        </row>
        <row r="111">
          <cell r="L111">
            <v>225.07</v>
          </cell>
        </row>
        <row r="112">
          <cell r="L112">
            <v>20088</v>
          </cell>
        </row>
        <row r="113">
          <cell r="L113">
            <v>2430</v>
          </cell>
        </row>
        <row r="114">
          <cell r="L114">
            <v>3453.89</v>
          </cell>
        </row>
        <row r="115">
          <cell r="L115">
            <v>19116.420000000002</v>
          </cell>
        </row>
        <row r="116">
          <cell r="L116">
            <v>1172</v>
          </cell>
        </row>
        <row r="117">
          <cell r="L117">
            <v>0</v>
          </cell>
        </row>
        <row r="118">
          <cell r="L118">
            <v>52.17</v>
          </cell>
        </row>
        <row r="119">
          <cell r="L119">
            <v>8555.3399999999983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350883.45</v>
          </cell>
        </row>
        <row r="123">
          <cell r="L123">
            <v>131821.20000000001</v>
          </cell>
        </row>
        <row r="124">
          <cell r="L124">
            <v>1506.24</v>
          </cell>
        </row>
        <row r="125">
          <cell r="L125">
            <v>216</v>
          </cell>
        </row>
        <row r="126">
          <cell r="L126">
            <v>216</v>
          </cell>
        </row>
        <row r="128">
          <cell r="L128">
            <v>1164706.94</v>
          </cell>
        </row>
        <row r="130">
          <cell r="L130">
            <v>678.62</v>
          </cell>
        </row>
        <row r="131">
          <cell r="L131">
            <v>59867.939999999988</v>
          </cell>
        </row>
        <row r="133">
          <cell r="L133">
            <v>13043.5</v>
          </cell>
        </row>
        <row r="134">
          <cell r="L134">
            <v>55791.320000000007</v>
          </cell>
        </row>
        <row r="135">
          <cell r="L135">
            <v>49473.47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61293.100000000013</v>
          </cell>
        </row>
        <row r="145">
          <cell r="L145">
            <v>8316.8499999999985</v>
          </cell>
        </row>
        <row r="146">
          <cell r="L146">
            <v>107.48</v>
          </cell>
        </row>
        <row r="147">
          <cell r="L147">
            <v>975.24</v>
          </cell>
        </row>
        <row r="148">
          <cell r="L148">
            <v>2847.96</v>
          </cell>
        </row>
        <row r="149">
          <cell r="L149">
            <v>8931.4200000000019</v>
          </cell>
        </row>
        <row r="150">
          <cell r="L150">
            <v>1166.99</v>
          </cell>
        </row>
        <row r="151">
          <cell r="L151">
            <v>222.15</v>
          </cell>
        </row>
        <row r="152">
          <cell r="L152">
            <v>169.95</v>
          </cell>
        </row>
        <row r="153">
          <cell r="L153">
            <v>2310.15</v>
          </cell>
        </row>
        <row r="155">
          <cell r="L155">
            <v>10560.2</v>
          </cell>
        </row>
        <row r="156">
          <cell r="L156">
            <v>0</v>
          </cell>
        </row>
        <row r="157">
          <cell r="L157">
            <v>313.04000000000002</v>
          </cell>
        </row>
        <row r="158">
          <cell r="L158">
            <v>0</v>
          </cell>
        </row>
        <row r="159">
          <cell r="L159">
            <v>130.14000000000001</v>
          </cell>
        </row>
        <row r="160">
          <cell r="L160">
            <v>433.8</v>
          </cell>
        </row>
        <row r="161">
          <cell r="L161">
            <v>0</v>
          </cell>
        </row>
        <row r="162">
          <cell r="L162">
            <v>96.52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16752.510000000002</v>
          </cell>
        </row>
        <row r="166">
          <cell r="L166">
            <v>29358.55</v>
          </cell>
        </row>
        <row r="167">
          <cell r="L167">
            <v>0</v>
          </cell>
        </row>
        <row r="168">
          <cell r="L168">
            <v>43.38</v>
          </cell>
        </row>
        <row r="169">
          <cell r="L169">
            <v>0</v>
          </cell>
        </row>
        <row r="170">
          <cell r="L170">
            <v>75035.51999999999</v>
          </cell>
        </row>
        <row r="172">
          <cell r="L172">
            <v>0</v>
          </cell>
        </row>
        <row r="174">
          <cell r="L174">
            <v>0</v>
          </cell>
        </row>
        <row r="177">
          <cell r="L177">
            <v>3631500.8000000003</v>
          </cell>
        </row>
        <row r="178">
          <cell r="L178">
            <v>123646.68000000002</v>
          </cell>
        </row>
        <row r="179">
          <cell r="L179">
            <v>387964.92000000004</v>
          </cell>
        </row>
        <row r="180">
          <cell r="L180">
            <v>23538.879999999997</v>
          </cell>
        </row>
        <row r="181">
          <cell r="L181">
            <v>180800</v>
          </cell>
        </row>
        <row r="182">
          <cell r="L182">
            <v>15923.359999999999</v>
          </cell>
        </row>
        <row r="183">
          <cell r="L183">
            <v>83655</v>
          </cell>
        </row>
        <row r="184">
          <cell r="L184">
            <v>46600</v>
          </cell>
        </row>
        <row r="185">
          <cell r="L185">
            <v>22800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4">
          <cell r="L194">
            <v>3873.24</v>
          </cell>
        </row>
        <row r="195">
          <cell r="L195">
            <v>278.18</v>
          </cell>
        </row>
        <row r="196">
          <cell r="L196">
            <v>9066.9</v>
          </cell>
        </row>
        <row r="197">
          <cell r="L197">
            <v>4364.42</v>
          </cell>
        </row>
        <row r="198">
          <cell r="L198">
            <v>2884.56</v>
          </cell>
        </row>
        <row r="200">
          <cell r="L200">
            <v>0</v>
          </cell>
        </row>
        <row r="201">
          <cell r="L201">
            <v>8878.68</v>
          </cell>
        </row>
        <row r="202">
          <cell r="L202">
            <v>1165.0999999999999</v>
          </cell>
        </row>
        <row r="203">
          <cell r="L203">
            <v>2702.89</v>
          </cell>
        </row>
        <row r="204">
          <cell r="L204">
            <v>1040.4000000000001</v>
          </cell>
        </row>
        <row r="206">
          <cell r="L206">
            <v>0</v>
          </cell>
        </row>
        <row r="209">
          <cell r="L209">
            <v>0</v>
          </cell>
        </row>
        <row r="211">
          <cell r="L211">
            <v>1215.1300000000001</v>
          </cell>
        </row>
        <row r="213">
          <cell r="L213">
            <v>0</v>
          </cell>
        </row>
        <row r="214">
          <cell r="L214">
            <v>650.71</v>
          </cell>
        </row>
        <row r="215">
          <cell r="L215">
            <v>0</v>
          </cell>
        </row>
        <row r="219">
          <cell r="L219">
            <v>0</v>
          </cell>
        </row>
        <row r="220">
          <cell r="L220">
            <v>3000</v>
          </cell>
        </row>
        <row r="221">
          <cell r="L221">
            <v>1296</v>
          </cell>
        </row>
        <row r="222">
          <cell r="L222">
            <v>419</v>
          </cell>
        </row>
        <row r="224">
          <cell r="L224">
            <v>6652</v>
          </cell>
        </row>
        <row r="225">
          <cell r="L225">
            <v>2260</v>
          </cell>
        </row>
        <row r="226">
          <cell r="L226">
            <v>1373</v>
          </cell>
        </row>
        <row r="228">
          <cell r="L228">
            <v>3787</v>
          </cell>
        </row>
        <row r="229">
          <cell r="L229">
            <v>1895</v>
          </cell>
        </row>
        <row r="230">
          <cell r="L230">
            <v>0</v>
          </cell>
        </row>
        <row r="232">
          <cell r="L232">
            <v>98228</v>
          </cell>
        </row>
        <row r="233">
          <cell r="L233">
            <v>1716</v>
          </cell>
        </row>
        <row r="234">
          <cell r="L234">
            <v>1198</v>
          </cell>
        </row>
        <row r="235">
          <cell r="L235">
            <v>2404</v>
          </cell>
        </row>
        <row r="236">
          <cell r="L236">
            <v>1813</v>
          </cell>
        </row>
        <row r="238">
          <cell r="L238">
            <v>0</v>
          </cell>
        </row>
        <row r="240">
          <cell r="L240">
            <v>19331.410000000003</v>
          </cell>
        </row>
        <row r="241">
          <cell r="L241">
            <v>110723.06999999999</v>
          </cell>
        </row>
        <row r="244">
          <cell r="L244">
            <v>0</v>
          </cell>
        </row>
        <row r="246">
          <cell r="L246">
            <v>364.92</v>
          </cell>
        </row>
        <row r="247">
          <cell r="L247">
            <v>792.62999999999988</v>
          </cell>
        </row>
        <row r="248">
          <cell r="L248">
            <v>1232.9099999999999</v>
          </cell>
        </row>
        <row r="249">
          <cell r="L249">
            <v>0</v>
          </cell>
        </row>
        <row r="250">
          <cell r="L250">
            <v>0</v>
          </cell>
        </row>
        <row r="251">
          <cell r="L251">
            <v>548.66</v>
          </cell>
        </row>
        <row r="252">
          <cell r="L252">
            <v>0</v>
          </cell>
        </row>
        <row r="255">
          <cell r="L255">
            <v>72744.5</v>
          </cell>
        </row>
        <row r="259">
          <cell r="L259">
            <v>32906</v>
          </cell>
        </row>
        <row r="260">
          <cell r="L260">
            <v>74715</v>
          </cell>
        </row>
        <row r="261">
          <cell r="L261">
            <v>106087.12</v>
          </cell>
        </row>
        <row r="262">
          <cell r="L262">
            <v>0</v>
          </cell>
        </row>
        <row r="263">
          <cell r="L263">
            <v>0</v>
          </cell>
        </row>
        <row r="265">
          <cell r="L265">
            <v>29652.04</v>
          </cell>
        </row>
        <row r="266">
          <cell r="L266">
            <v>4000</v>
          </cell>
        </row>
        <row r="267">
          <cell r="L267">
            <v>2000</v>
          </cell>
        </row>
        <row r="268">
          <cell r="L268">
            <v>9000</v>
          </cell>
        </row>
        <row r="270">
          <cell r="L270">
            <v>21290</v>
          </cell>
        </row>
        <row r="271">
          <cell r="L271">
            <v>0</v>
          </cell>
        </row>
        <row r="272">
          <cell r="L272">
            <v>160</v>
          </cell>
        </row>
        <row r="273">
          <cell r="L273">
            <v>130</v>
          </cell>
        </row>
        <row r="275">
          <cell r="L275">
            <v>45000</v>
          </cell>
        </row>
        <row r="278">
          <cell r="L278">
            <v>1000</v>
          </cell>
        </row>
        <row r="280">
          <cell r="L280">
            <v>0</v>
          </cell>
        </row>
        <row r="281">
          <cell r="L281">
            <v>800394.78</v>
          </cell>
        </row>
        <row r="282">
          <cell r="L282">
            <v>0</v>
          </cell>
        </row>
        <row r="284">
          <cell r="L284">
            <v>23100.18</v>
          </cell>
        </row>
        <row r="285">
          <cell r="L285">
            <v>1824.84</v>
          </cell>
        </row>
        <row r="286">
          <cell r="L286">
            <v>50856</v>
          </cell>
        </row>
        <row r="287">
          <cell r="L287">
            <v>0</v>
          </cell>
        </row>
        <row r="290">
          <cell r="L290">
            <v>37785.68</v>
          </cell>
        </row>
        <row r="292">
          <cell r="L292">
            <v>5808.26</v>
          </cell>
        </row>
        <row r="294">
          <cell r="L294">
            <v>14163.600000000004</v>
          </cell>
        </row>
        <row r="298">
          <cell r="L298">
            <v>104664.48000000001</v>
          </cell>
        </row>
        <row r="299">
          <cell r="L299">
            <v>136614.68999999997</v>
          </cell>
        </row>
        <row r="300">
          <cell r="L300">
            <v>15085.07</v>
          </cell>
        </row>
        <row r="301">
          <cell r="L301">
            <v>536.43999999999994</v>
          </cell>
        </row>
        <row r="302">
          <cell r="L302">
            <v>3639.8599999999997</v>
          </cell>
        </row>
        <row r="303">
          <cell r="L303">
            <v>0</v>
          </cell>
        </row>
        <row r="305">
          <cell r="L305">
            <v>16271.84</v>
          </cell>
        </row>
        <row r="307">
          <cell r="L307">
            <v>0</v>
          </cell>
        </row>
        <row r="308">
          <cell r="L308">
            <v>0</v>
          </cell>
        </row>
        <row r="310">
          <cell r="L310">
            <v>144000</v>
          </cell>
        </row>
        <row r="312">
          <cell r="L312">
            <v>0</v>
          </cell>
        </row>
        <row r="316">
          <cell r="L316">
            <v>0</v>
          </cell>
        </row>
        <row r="317">
          <cell r="L317">
            <v>0</v>
          </cell>
        </row>
        <row r="323">
          <cell r="L323">
            <v>0</v>
          </cell>
        </row>
        <row r="324">
          <cell r="L324">
            <v>157132.21056000001</v>
          </cell>
        </row>
        <row r="325">
          <cell r="L325">
            <v>624573.92683999997</v>
          </cell>
        </row>
        <row r="326">
          <cell r="L326">
            <v>2798557.8613600004</v>
          </cell>
        </row>
        <row r="327">
          <cell r="L327">
            <v>804454.27234000002</v>
          </cell>
        </row>
        <row r="328">
          <cell r="L328">
            <v>1774390.9395199998</v>
          </cell>
        </row>
        <row r="329">
          <cell r="L329">
            <v>53632961.637099996</v>
          </cell>
        </row>
        <row r="330">
          <cell r="L330">
            <v>6155018.2234800011</v>
          </cell>
        </row>
        <row r="331">
          <cell r="L331">
            <v>6148986.8381600007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34379.498980000004</v>
          </cell>
        </row>
        <row r="337">
          <cell r="L337">
            <v>240690.25992000001</v>
          </cell>
        </row>
        <row r="338">
          <cell r="L338">
            <v>109295.75795999999</v>
          </cell>
        </row>
        <row r="341">
          <cell r="L341">
            <v>23338313.700000007</v>
          </cell>
        </row>
        <row r="343">
          <cell r="L343">
            <v>8909228.6399999987</v>
          </cell>
        </row>
        <row r="347">
          <cell r="L347">
            <v>939054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7"/>
  <sheetViews>
    <sheetView tabSelected="1" zoomScale="150" zoomScaleNormal="150" workbookViewId="0">
      <pane xSplit="4" ySplit="12" topLeftCell="E125" activePane="bottomRight" state="frozen"/>
      <selection pane="topRight" activeCell="E1" sqref="E1"/>
      <selection pane="bottomLeft" activeCell="A13" sqref="A13"/>
      <selection pane="bottomRight" activeCell="B14" sqref="B14"/>
    </sheetView>
  </sheetViews>
  <sheetFormatPr baseColWidth="10" defaultColWidth="9.140625" defaultRowHeight="11.25" x14ac:dyDescent="0.2"/>
  <cols>
    <col min="1" max="1" width="0.7109375" style="24" customWidth="1"/>
    <col min="2" max="2" width="11.42578125" style="24" customWidth="1"/>
    <col min="3" max="3" width="13.28515625" style="24" hidden="1" customWidth="1"/>
    <col min="4" max="4" width="43.42578125" style="83" customWidth="1"/>
    <col min="5" max="5" width="11.42578125" style="38" customWidth="1"/>
    <col min="6" max="10" width="8.5703125" style="38" hidden="1" customWidth="1"/>
    <col min="11" max="16" width="8.5703125" style="24" hidden="1" customWidth="1"/>
    <col min="17" max="17" width="9" style="24" hidden="1" customWidth="1"/>
    <col min="18" max="18" width="0.7109375" style="24" customWidth="1"/>
    <col min="19" max="24" width="11.140625" style="24" customWidth="1"/>
    <col min="25" max="29" width="12" style="24" customWidth="1"/>
    <col min="30" max="30" width="10.5703125" style="8" customWidth="1"/>
    <col min="31" max="31" width="10.5703125" style="42" customWidth="1"/>
    <col min="32" max="32" width="13.7109375" style="24" customWidth="1"/>
    <col min="33" max="33" width="13.7109375" style="24" bestFit="1" customWidth="1"/>
    <col min="34" max="34" width="9.140625" style="24"/>
    <col min="35" max="35" width="11.5703125" style="24" bestFit="1" customWidth="1"/>
    <col min="36" max="16384" width="9.140625" style="24"/>
  </cols>
  <sheetData>
    <row r="1" spans="1:33" s="7" customFormat="1" ht="5.25" customHeight="1" x14ac:dyDescent="0.2">
      <c r="A1" s="1"/>
      <c r="B1" s="2"/>
      <c r="C1" s="2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6"/>
      <c r="AD1" s="8"/>
      <c r="AE1" s="9"/>
    </row>
    <row r="2" spans="1:33" customFormat="1" ht="13.5" customHeight="1" x14ac:dyDescent="0.2">
      <c r="A2" s="10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AD2" s="8"/>
      <c r="AE2" s="13"/>
    </row>
    <row r="3" spans="1:33" s="17" customFormat="1" ht="13.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D3" s="8"/>
      <c r="AE3" s="18"/>
    </row>
    <row r="4" spans="1:33" s="17" customFormat="1" ht="13.5" customHeight="1" x14ac:dyDescent="0.2">
      <c r="A4" s="1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6"/>
      <c r="AD4" s="8"/>
      <c r="AE4" s="18"/>
    </row>
    <row r="5" spans="1:33" s="17" customFormat="1" ht="13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AD5" s="8"/>
      <c r="AE5" s="18"/>
    </row>
    <row r="6" spans="1:33" customFormat="1" ht="13.5" customHeight="1" x14ac:dyDescent="0.2">
      <c r="A6" s="10"/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12"/>
      <c r="AD6" s="8"/>
      <c r="AE6" s="13"/>
    </row>
    <row r="7" spans="1:33" customFormat="1" ht="13.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AD7" s="8"/>
      <c r="AE7" s="13"/>
    </row>
    <row r="8" spans="1:33" customFormat="1" ht="13.5" customHeight="1" x14ac:dyDescent="0.2">
      <c r="B8" s="24"/>
      <c r="C8" s="24"/>
      <c r="D8" s="25"/>
      <c r="E8" s="24"/>
      <c r="F8" s="24"/>
      <c r="G8" s="24"/>
      <c r="H8" s="24"/>
      <c r="I8" s="24"/>
      <c r="J8" s="26"/>
      <c r="AD8" s="8"/>
      <c r="AE8" s="27"/>
    </row>
    <row r="9" spans="1:33" customFormat="1" ht="16.5" customHeight="1" x14ac:dyDescent="0.2">
      <c r="B9" s="28" t="s">
        <v>2</v>
      </c>
      <c r="C9" s="29"/>
      <c r="D9" s="29"/>
      <c r="E9" s="30" t="s">
        <v>3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31"/>
      <c r="AD9" s="8"/>
      <c r="AE9" s="27"/>
    </row>
    <row r="10" spans="1:33" customFormat="1" ht="16.5" customHeight="1" x14ac:dyDescent="0.2">
      <c r="B10" s="32"/>
      <c r="C10" s="33"/>
      <c r="D10" s="33"/>
      <c r="E10" s="34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AD10" s="8"/>
      <c r="AE10" s="27"/>
      <c r="AF10" s="38">
        <f>+AF340</f>
        <v>116771330.47142</v>
      </c>
    </row>
    <row r="11" spans="1:33" customFormat="1" ht="16.5" customHeight="1" x14ac:dyDescent="0.2">
      <c r="B11" s="35"/>
      <c r="C11" s="36"/>
      <c r="D11" s="36"/>
      <c r="E11" s="39"/>
      <c r="F11" s="40" t="s">
        <v>4</v>
      </c>
      <c r="G11" s="40" t="s">
        <v>5</v>
      </c>
      <c r="H11" s="40" t="s">
        <v>6</v>
      </c>
      <c r="I11" s="40" t="s">
        <v>7</v>
      </c>
      <c r="J11" s="40" t="s">
        <v>8</v>
      </c>
      <c r="K11" s="40" t="s">
        <v>9</v>
      </c>
      <c r="L11" s="40" t="s">
        <v>10</v>
      </c>
      <c r="M11" s="40" t="s">
        <v>11</v>
      </c>
      <c r="N11" s="40" t="s">
        <v>12</v>
      </c>
      <c r="O11" s="40" t="s">
        <v>13</v>
      </c>
      <c r="P11" s="40" t="s">
        <v>14</v>
      </c>
      <c r="Q11" s="40" t="s">
        <v>15</v>
      </c>
      <c r="AD11" s="8"/>
      <c r="AE11" s="27"/>
      <c r="AF11" s="38">
        <f>+AF10-E13</f>
        <v>-928669.52480000257</v>
      </c>
    </row>
    <row r="12" spans="1:33" ht="3.75" customHeight="1" x14ac:dyDescent="0.2">
      <c r="B12" s="41"/>
      <c r="C12" s="41"/>
      <c r="D12" s="41"/>
      <c r="E12" s="24"/>
    </row>
    <row r="13" spans="1:33" x14ac:dyDescent="0.2">
      <c r="B13" s="43" t="s">
        <v>16</v>
      </c>
      <c r="C13" s="43"/>
      <c r="D13" s="44"/>
      <c r="E13" s="45">
        <f>+E14</f>
        <v>117699999.99622001</v>
      </c>
      <c r="F13" s="46">
        <f t="shared" ref="F13:Q14" si="0">+F14</f>
        <v>10876699.416300002</v>
      </c>
      <c r="G13" s="46">
        <f t="shared" si="0"/>
        <v>11580252.4406</v>
      </c>
      <c r="H13" s="46">
        <f t="shared" si="0"/>
        <v>12980257.940399999</v>
      </c>
      <c r="I13" s="46">
        <f t="shared" si="0"/>
        <v>10031841.621900002</v>
      </c>
      <c r="J13" s="46">
        <f t="shared" si="0"/>
        <v>11080474.4778</v>
      </c>
      <c r="K13" s="46">
        <f t="shared" si="0"/>
        <v>11244459.866900001</v>
      </c>
      <c r="L13" s="46">
        <f t="shared" si="0"/>
        <v>11156856.4538</v>
      </c>
      <c r="M13" s="46">
        <f t="shared" si="0"/>
        <v>10366297.7038</v>
      </c>
      <c r="N13" s="46">
        <f t="shared" si="0"/>
        <v>11041068.5397</v>
      </c>
      <c r="O13" s="46">
        <f t="shared" si="0"/>
        <v>9676657.5080000013</v>
      </c>
      <c r="P13" s="46">
        <f t="shared" si="0"/>
        <v>6314194.3811999997</v>
      </c>
      <c r="Q13" s="46">
        <f t="shared" si="0"/>
        <v>6862279.648</v>
      </c>
      <c r="AE13" s="47"/>
    </row>
    <row r="14" spans="1:33" ht="16.5" x14ac:dyDescent="0.2">
      <c r="B14" s="48" t="s">
        <v>17</v>
      </c>
      <c r="C14" s="49" t="s">
        <v>18</v>
      </c>
      <c r="D14" s="50" t="s">
        <v>19</v>
      </c>
      <c r="E14" s="51">
        <f>+E15</f>
        <v>117699999.99622001</v>
      </c>
      <c r="F14" s="52">
        <f t="shared" si="0"/>
        <v>10876699.416300002</v>
      </c>
      <c r="G14" s="52">
        <f t="shared" si="0"/>
        <v>11580252.4406</v>
      </c>
      <c r="H14" s="52">
        <f t="shared" si="0"/>
        <v>12980257.940399999</v>
      </c>
      <c r="I14" s="52">
        <f t="shared" si="0"/>
        <v>10031841.621900002</v>
      </c>
      <c r="J14" s="52">
        <f t="shared" si="0"/>
        <v>11080474.4778</v>
      </c>
      <c r="K14" s="52">
        <f t="shared" si="0"/>
        <v>11244459.866900001</v>
      </c>
      <c r="L14" s="52">
        <f t="shared" si="0"/>
        <v>11156856.4538</v>
      </c>
      <c r="M14" s="52">
        <f t="shared" si="0"/>
        <v>10366297.7038</v>
      </c>
      <c r="N14" s="52">
        <f t="shared" si="0"/>
        <v>11041068.5397</v>
      </c>
      <c r="O14" s="52">
        <f t="shared" si="0"/>
        <v>9676657.5080000013</v>
      </c>
      <c r="P14" s="52">
        <f t="shared" si="0"/>
        <v>6314194.3811999997</v>
      </c>
      <c r="Q14" s="52">
        <f t="shared" si="0"/>
        <v>6862279.648</v>
      </c>
      <c r="AG14" s="38">
        <f>SUM(AF18:AF308)</f>
        <v>11838162.389999999</v>
      </c>
    </row>
    <row r="15" spans="1:33" x14ac:dyDescent="0.2">
      <c r="B15" s="48" t="s">
        <v>20</v>
      </c>
      <c r="C15" s="48"/>
      <c r="D15" s="50" t="s">
        <v>21</v>
      </c>
      <c r="E15" s="51">
        <f>+E16+E69+E248+E287+E305+E311+E309</f>
        <v>117699999.99622001</v>
      </c>
      <c r="F15" s="52">
        <f t="shared" ref="F15:Q15" si="1">+F16+F69+F248+F287+F305+F311</f>
        <v>10876699.416300002</v>
      </c>
      <c r="G15" s="52">
        <f t="shared" si="1"/>
        <v>11580252.4406</v>
      </c>
      <c r="H15" s="52">
        <f t="shared" si="1"/>
        <v>12980257.940399999</v>
      </c>
      <c r="I15" s="52">
        <f t="shared" si="1"/>
        <v>10031841.621900002</v>
      </c>
      <c r="J15" s="52">
        <f t="shared" si="1"/>
        <v>11080474.4778</v>
      </c>
      <c r="K15" s="52">
        <f t="shared" si="1"/>
        <v>11244459.866900001</v>
      </c>
      <c r="L15" s="52">
        <f t="shared" si="1"/>
        <v>11156856.4538</v>
      </c>
      <c r="M15" s="52">
        <f t="shared" si="1"/>
        <v>10366297.7038</v>
      </c>
      <c r="N15" s="52">
        <f t="shared" si="1"/>
        <v>11041068.5397</v>
      </c>
      <c r="O15" s="52">
        <f t="shared" si="1"/>
        <v>9676657.5080000013</v>
      </c>
      <c r="P15" s="52">
        <f t="shared" si="1"/>
        <v>6314194.3811999997</v>
      </c>
      <c r="Q15" s="52">
        <f t="shared" si="1"/>
        <v>6862279.648</v>
      </c>
    </row>
    <row r="16" spans="1:33" s="53" customFormat="1" x14ac:dyDescent="0.2">
      <c r="B16" s="54" t="s">
        <v>22</v>
      </c>
      <c r="C16" s="54"/>
      <c r="D16" s="55" t="s">
        <v>23</v>
      </c>
      <c r="E16" s="56">
        <f t="shared" ref="E16:Q16" si="2">+E17+E26+E46+E56</f>
        <v>2551114.13</v>
      </c>
      <c r="F16" s="57">
        <f t="shared" si="2"/>
        <v>632469.56000000006</v>
      </c>
      <c r="G16" s="57">
        <f t="shared" si="2"/>
        <v>242199.70200000002</v>
      </c>
      <c r="H16" s="57">
        <f t="shared" si="2"/>
        <v>222719.96799999999</v>
      </c>
      <c r="I16" s="57">
        <f t="shared" si="2"/>
        <v>208597.07</v>
      </c>
      <c r="J16" s="57">
        <f t="shared" si="2"/>
        <v>210766.46900000001</v>
      </c>
      <c r="K16" s="57">
        <f t="shared" si="2"/>
        <v>193307.948</v>
      </c>
      <c r="L16" s="57">
        <f t="shared" si="2"/>
        <v>162555.96499999997</v>
      </c>
      <c r="M16" s="57">
        <f t="shared" si="2"/>
        <v>162245.05500000002</v>
      </c>
      <c r="N16" s="57">
        <f t="shared" si="2"/>
        <v>248603.94700000001</v>
      </c>
      <c r="O16" s="57">
        <f t="shared" si="2"/>
        <v>149450.81350000002</v>
      </c>
      <c r="P16" s="57">
        <f t="shared" si="2"/>
        <v>133960.2781</v>
      </c>
      <c r="Q16" s="57">
        <f t="shared" si="2"/>
        <v>128170.46920000002</v>
      </c>
      <c r="S16" s="24"/>
      <c r="T16" s="24"/>
      <c r="U16" s="24"/>
      <c r="V16" s="24"/>
      <c r="W16" s="24"/>
      <c r="X16" s="24"/>
      <c r="Y16" s="24"/>
      <c r="Z16" s="24"/>
      <c r="AD16" s="8"/>
      <c r="AE16" s="58"/>
    </row>
    <row r="17" spans="2:32" x14ac:dyDescent="0.2">
      <c r="B17" s="48" t="s">
        <v>24</v>
      </c>
      <c r="C17" s="48"/>
      <c r="D17" s="50" t="s">
        <v>25</v>
      </c>
      <c r="E17" s="51">
        <f>SUM(E18:E25)</f>
        <v>900</v>
      </c>
      <c r="F17" s="52">
        <f t="shared" ref="F17:Q17" si="3">SUM(F18:F25)</f>
        <v>1708.29</v>
      </c>
      <c r="G17" s="52">
        <f t="shared" si="3"/>
        <v>1488.7099999999998</v>
      </c>
      <c r="H17" s="52">
        <f t="shared" si="3"/>
        <v>551.71</v>
      </c>
      <c r="I17" s="52">
        <f t="shared" si="3"/>
        <v>1245.8500000000001</v>
      </c>
      <c r="J17" s="52">
        <f t="shared" si="3"/>
        <v>462.17</v>
      </c>
      <c r="K17" s="52">
        <f t="shared" si="3"/>
        <v>770.23</v>
      </c>
      <c r="L17" s="52">
        <f t="shared" si="3"/>
        <v>0</v>
      </c>
      <c r="M17" s="52">
        <f t="shared" si="3"/>
        <v>0</v>
      </c>
      <c r="N17" s="52">
        <f t="shared" si="3"/>
        <v>1694.59</v>
      </c>
      <c r="O17" s="52">
        <f t="shared" si="3"/>
        <v>954.48</v>
      </c>
      <c r="P17" s="52">
        <f t="shared" si="3"/>
        <v>3286.5686000000001</v>
      </c>
      <c r="Q17" s="52">
        <f t="shared" si="3"/>
        <v>2341.3862000000004</v>
      </c>
    </row>
    <row r="18" spans="2:32" x14ac:dyDescent="0.2">
      <c r="B18" s="59" t="s">
        <v>26</v>
      </c>
      <c r="C18" s="59" t="s">
        <v>27</v>
      </c>
      <c r="D18" s="60" t="s">
        <v>28</v>
      </c>
      <c r="E18" s="61">
        <f>+'[1]BASE MENSUAL 2022 PRESUP.'!L19</f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500</v>
      </c>
      <c r="P18" s="62">
        <v>0</v>
      </c>
      <c r="Q18" s="62">
        <v>0</v>
      </c>
      <c r="AF18" s="38">
        <f t="shared" ref="AF18:AF25" si="4">+E18</f>
        <v>0</v>
      </c>
    </row>
    <row r="19" spans="2:32" x14ac:dyDescent="0.2">
      <c r="B19" s="59" t="s">
        <v>29</v>
      </c>
      <c r="C19" s="59" t="s">
        <v>27</v>
      </c>
      <c r="D19" s="60" t="s">
        <v>30</v>
      </c>
      <c r="E19" s="61">
        <f>+'[1]BASE MENSUAL 2022 PRESUP.'!L20</f>
        <v>300</v>
      </c>
      <c r="F19" s="62">
        <v>300</v>
      </c>
      <c r="G19" s="62">
        <v>0</v>
      </c>
      <c r="H19" s="62">
        <v>0</v>
      </c>
      <c r="I19" s="62">
        <v>447.82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300</v>
      </c>
      <c r="Q19" s="62">
        <v>0</v>
      </c>
      <c r="AF19" s="38">
        <f t="shared" si="4"/>
        <v>300</v>
      </c>
    </row>
    <row r="20" spans="2:32" x14ac:dyDescent="0.2">
      <c r="B20" s="59" t="s">
        <v>31</v>
      </c>
      <c r="C20" s="59" t="s">
        <v>27</v>
      </c>
      <c r="D20" s="60" t="s">
        <v>32</v>
      </c>
      <c r="E20" s="61">
        <f>+'[1]BASE MENSUAL 2022 PRESUP.'!L21</f>
        <v>300</v>
      </c>
      <c r="F20" s="62">
        <v>0</v>
      </c>
      <c r="G20" s="62">
        <v>256.33999999999997</v>
      </c>
      <c r="H20" s="62">
        <v>0</v>
      </c>
      <c r="I20" s="62">
        <v>335.86</v>
      </c>
      <c r="J20" s="62">
        <v>0</v>
      </c>
      <c r="K20" s="62">
        <v>0</v>
      </c>
      <c r="L20" s="62">
        <v>0</v>
      </c>
      <c r="M20" s="62">
        <v>0</v>
      </c>
      <c r="N20" s="62">
        <v>1694.59</v>
      </c>
      <c r="O20" s="62">
        <v>0</v>
      </c>
      <c r="P20" s="62">
        <v>0</v>
      </c>
      <c r="Q20" s="62">
        <v>0</v>
      </c>
      <c r="AF20" s="38">
        <f t="shared" si="4"/>
        <v>300</v>
      </c>
    </row>
    <row r="21" spans="2:32" x14ac:dyDescent="0.2">
      <c r="B21" s="59" t="s">
        <v>33</v>
      </c>
      <c r="C21" s="59" t="s">
        <v>27</v>
      </c>
      <c r="D21" s="60" t="s">
        <v>34</v>
      </c>
      <c r="E21" s="61">
        <f>+'[1]BASE MENSUAL 2022 PRESUP.'!L22</f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447.73</v>
      </c>
      <c r="AF21" s="38">
        <f t="shared" si="4"/>
        <v>0</v>
      </c>
    </row>
    <row r="22" spans="2:32" x14ac:dyDescent="0.2">
      <c r="B22" s="59" t="s">
        <v>35</v>
      </c>
      <c r="C22" s="59" t="s">
        <v>27</v>
      </c>
      <c r="D22" s="60" t="s">
        <v>36</v>
      </c>
      <c r="E22" s="61">
        <f>+'[1]BASE MENSUAL 2022 PRESUP.'!L23</f>
        <v>0</v>
      </c>
      <c r="F22" s="62">
        <v>1077.17</v>
      </c>
      <c r="G22" s="62">
        <v>1232.3699999999999</v>
      </c>
      <c r="H22" s="62">
        <v>551.71</v>
      </c>
      <c r="I22" s="62">
        <v>462.17</v>
      </c>
      <c r="J22" s="62">
        <v>462.17</v>
      </c>
      <c r="K22" s="62">
        <v>770.23</v>
      </c>
      <c r="L22" s="62">
        <v>0</v>
      </c>
      <c r="M22" s="62">
        <v>0</v>
      </c>
      <c r="N22" s="62">
        <v>0</v>
      </c>
      <c r="O22" s="62">
        <v>454.48</v>
      </c>
      <c r="P22" s="62">
        <v>2272.39</v>
      </c>
      <c r="Q22" s="62">
        <v>1817.91</v>
      </c>
      <c r="AF22" s="38">
        <f t="shared" si="4"/>
        <v>0</v>
      </c>
    </row>
    <row r="23" spans="2:32" x14ac:dyDescent="0.2">
      <c r="B23" s="59" t="s">
        <v>37</v>
      </c>
      <c r="C23" s="59" t="s">
        <v>27</v>
      </c>
      <c r="D23" s="60" t="s">
        <v>38</v>
      </c>
      <c r="E23" s="61">
        <f>+'[1]BASE MENSUAL 2022 PRESUP.'!L24</f>
        <v>100</v>
      </c>
      <c r="F23" s="62">
        <v>331.12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AF23" s="38">
        <f t="shared" si="4"/>
        <v>100</v>
      </c>
    </row>
    <row r="24" spans="2:32" x14ac:dyDescent="0.2">
      <c r="B24" s="59" t="s">
        <v>39</v>
      </c>
      <c r="C24" s="59" t="s">
        <v>27</v>
      </c>
      <c r="D24" s="60" t="s">
        <v>40</v>
      </c>
      <c r="E24" s="61">
        <f>+'[1]BASE MENSUAL 2022 PRESUP.'!L25</f>
        <v>100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486.94</v>
      </c>
      <c r="Q24" s="62">
        <v>0</v>
      </c>
      <c r="AF24" s="38">
        <f t="shared" si="4"/>
        <v>100</v>
      </c>
    </row>
    <row r="25" spans="2:32" x14ac:dyDescent="0.2">
      <c r="B25" s="59" t="s">
        <v>41</v>
      </c>
      <c r="C25" s="59" t="s">
        <v>27</v>
      </c>
      <c r="D25" s="60" t="s">
        <v>42</v>
      </c>
      <c r="E25" s="61">
        <f>+'[1]BASE MENSUAL 2022 PRESUP.'!L26</f>
        <v>100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f>220.62*1.03</f>
        <v>227.23860000000002</v>
      </c>
      <c r="Q25" s="62">
        <f>73.54*1.03</f>
        <v>75.746200000000002</v>
      </c>
      <c r="AF25" s="38">
        <f t="shared" si="4"/>
        <v>100</v>
      </c>
    </row>
    <row r="26" spans="2:32" x14ac:dyDescent="0.2">
      <c r="B26" s="48" t="s">
        <v>43</v>
      </c>
      <c r="C26" s="48"/>
      <c r="D26" s="50" t="s">
        <v>44</v>
      </c>
      <c r="E26" s="51">
        <f>+E27+E29+E31+E35+E44+E39+E40</f>
        <v>814457.48</v>
      </c>
      <c r="F26" s="52">
        <f t="shared" ref="F26:Q26" si="5">+F27+F29+F31+F35+F44+F39</f>
        <v>149546.68</v>
      </c>
      <c r="G26" s="52">
        <f t="shared" si="5"/>
        <v>38230.840000000011</v>
      </c>
      <c r="H26" s="52">
        <f t="shared" si="5"/>
        <v>24505.493999999999</v>
      </c>
      <c r="I26" s="52">
        <f t="shared" si="5"/>
        <v>20188.04</v>
      </c>
      <c r="J26" s="52">
        <f t="shared" si="5"/>
        <v>14986.983</v>
      </c>
      <c r="K26" s="52">
        <f t="shared" si="5"/>
        <v>9332.41</v>
      </c>
      <c r="L26" s="52">
        <f t="shared" si="5"/>
        <v>13666.047666666667</v>
      </c>
      <c r="M26" s="52">
        <f t="shared" si="5"/>
        <v>13776.537666666667</v>
      </c>
      <c r="N26" s="52">
        <f t="shared" si="5"/>
        <v>14309.531666666666</v>
      </c>
      <c r="O26" s="52">
        <f t="shared" si="5"/>
        <v>14232.977500000001</v>
      </c>
      <c r="P26" s="52">
        <f t="shared" si="5"/>
        <v>16265.449500000001</v>
      </c>
      <c r="Q26" s="52">
        <f t="shared" si="5"/>
        <v>4230.7150000000001</v>
      </c>
      <c r="AE26" s="42">
        <v>303322.94</v>
      </c>
      <c r="AF26" s="38"/>
    </row>
    <row r="27" spans="2:32" x14ac:dyDescent="0.2">
      <c r="B27" s="48" t="s">
        <v>45</v>
      </c>
      <c r="C27" s="48"/>
      <c r="D27" s="50" t="s">
        <v>46</v>
      </c>
      <c r="E27" s="51">
        <f>+E28</f>
        <v>46141.249999999993</v>
      </c>
      <c r="F27" s="52">
        <f t="shared" ref="F27:Q27" si="6">+F28</f>
        <v>24791.954000000002</v>
      </c>
      <c r="G27" s="52">
        <f t="shared" si="6"/>
        <v>4191.9570000000003</v>
      </c>
      <c r="H27" s="52">
        <f t="shared" si="6"/>
        <v>3178.0210000000002</v>
      </c>
      <c r="I27" s="52">
        <f t="shared" si="6"/>
        <v>617.16599999999994</v>
      </c>
      <c r="J27" s="52">
        <f t="shared" si="6"/>
        <v>758.82400000000007</v>
      </c>
      <c r="K27" s="52">
        <f t="shared" si="6"/>
        <v>1244.441</v>
      </c>
      <c r="L27" s="52">
        <f t="shared" si="6"/>
        <v>904.99933333333331</v>
      </c>
      <c r="M27" s="52">
        <f t="shared" si="6"/>
        <v>904.99933333333331</v>
      </c>
      <c r="N27" s="52">
        <f t="shared" si="6"/>
        <v>904.99933333333331</v>
      </c>
      <c r="O27" s="52">
        <f t="shared" si="6"/>
        <v>258.58800000000002</v>
      </c>
      <c r="P27" s="52">
        <f t="shared" si="6"/>
        <v>760.3420000000001</v>
      </c>
      <c r="Q27" s="52">
        <f t="shared" si="6"/>
        <v>264.26400000000001</v>
      </c>
      <c r="AD27" s="8">
        <f>+E26*AE27/AE26</f>
        <v>2.685116661469785</v>
      </c>
      <c r="AE27" s="63">
        <v>1</v>
      </c>
      <c r="AF27" s="38"/>
    </row>
    <row r="28" spans="2:32" x14ac:dyDescent="0.2">
      <c r="B28" s="59" t="s">
        <v>47</v>
      </c>
      <c r="C28" s="59" t="s">
        <v>27</v>
      </c>
      <c r="D28" s="60" t="s">
        <v>48</v>
      </c>
      <c r="E28" s="61">
        <f>+'[1]BASE MENSUAL 2022 PRESUP.'!L29</f>
        <v>46141.249999999993</v>
      </c>
      <c r="F28" s="62">
        <f>22538.14*1.1</f>
        <v>24791.954000000002</v>
      </c>
      <c r="G28" s="62">
        <f>3810.87*1.1</f>
        <v>4191.9570000000003</v>
      </c>
      <c r="H28" s="62">
        <f>2889.11*1.1</f>
        <v>3178.0210000000002</v>
      </c>
      <c r="I28" s="62">
        <f>561.06*1.1</f>
        <v>617.16599999999994</v>
      </c>
      <c r="J28" s="62">
        <f>689.84*1.1</f>
        <v>758.82400000000007</v>
      </c>
      <c r="K28" s="62">
        <f>1131.31*1.1</f>
        <v>1244.441</v>
      </c>
      <c r="L28" s="62">
        <f>2468.18*1.1/3</f>
        <v>904.99933333333331</v>
      </c>
      <c r="M28" s="62">
        <f t="shared" ref="M28:N28" si="7">2468.18*1.1/3</f>
        <v>904.99933333333331</v>
      </c>
      <c r="N28" s="62">
        <f t="shared" si="7"/>
        <v>904.99933333333331</v>
      </c>
      <c r="O28" s="62">
        <f>235.08*1.1</f>
        <v>258.58800000000002</v>
      </c>
      <c r="P28" s="62">
        <f>691.22*1.1</f>
        <v>760.3420000000001</v>
      </c>
      <c r="Q28" s="62">
        <f>240.24*1.1</f>
        <v>264.26400000000001</v>
      </c>
      <c r="AF28" s="38">
        <f>+E28</f>
        <v>46141.249999999993</v>
      </c>
    </row>
    <row r="29" spans="2:32" x14ac:dyDescent="0.2">
      <c r="B29" s="48" t="s">
        <v>49</v>
      </c>
      <c r="C29" s="48"/>
      <c r="D29" s="50" t="s">
        <v>50</v>
      </c>
      <c r="E29" s="51">
        <f>+E30</f>
        <v>154629.24</v>
      </c>
      <c r="F29" s="52">
        <f t="shared" ref="F29:Q29" si="8">+F30</f>
        <v>70107.543000000005</v>
      </c>
      <c r="G29" s="52">
        <f t="shared" si="8"/>
        <v>16781.743000000002</v>
      </c>
      <c r="H29" s="52">
        <f t="shared" si="8"/>
        <v>11599.709000000001</v>
      </c>
      <c r="I29" s="52">
        <f t="shared" si="8"/>
        <v>6386.1820000000007</v>
      </c>
      <c r="J29" s="52">
        <f t="shared" si="8"/>
        <v>5514.2670000000007</v>
      </c>
      <c r="K29" s="52">
        <f t="shared" si="8"/>
        <v>2871.1979999999999</v>
      </c>
      <c r="L29" s="52">
        <f t="shared" si="8"/>
        <v>3685.7516666666666</v>
      </c>
      <c r="M29" s="52">
        <f t="shared" si="8"/>
        <v>3685.7516666666666</v>
      </c>
      <c r="N29" s="52">
        <f t="shared" si="8"/>
        <v>3685.7516666666666</v>
      </c>
      <c r="O29" s="52">
        <f t="shared" si="8"/>
        <v>1672.4840000000002</v>
      </c>
      <c r="P29" s="52">
        <f t="shared" si="8"/>
        <v>3612.598</v>
      </c>
      <c r="Q29" s="52">
        <f t="shared" si="8"/>
        <v>1732.0710000000001</v>
      </c>
      <c r="AF29" s="38"/>
    </row>
    <row r="30" spans="2:32" x14ac:dyDescent="0.2">
      <c r="B30" s="59" t="s">
        <v>51</v>
      </c>
      <c r="C30" s="59" t="s">
        <v>27</v>
      </c>
      <c r="D30" s="60" t="s">
        <v>52</v>
      </c>
      <c r="E30" s="61">
        <f>+'[1]BASE MENSUAL 2022 PRESUP.'!L31</f>
        <v>154629.24</v>
      </c>
      <c r="F30" s="62">
        <f>63734.13*1.1</f>
        <v>70107.543000000005</v>
      </c>
      <c r="G30" s="62">
        <f>15256.13*1.1</f>
        <v>16781.743000000002</v>
      </c>
      <c r="H30" s="62">
        <f>10545.19*1.1</f>
        <v>11599.709000000001</v>
      </c>
      <c r="I30" s="62">
        <f>5805.62*1.1</f>
        <v>6386.1820000000007</v>
      </c>
      <c r="J30" s="62">
        <f>5012.97*1.1</f>
        <v>5514.2670000000007</v>
      </c>
      <c r="K30" s="62">
        <f>2610.18*1.1</f>
        <v>2871.1979999999999</v>
      </c>
      <c r="L30" s="62">
        <f>10052.05*1.1/3</f>
        <v>3685.7516666666666</v>
      </c>
      <c r="M30" s="62">
        <f>10052.05*1.1/3</f>
        <v>3685.7516666666666</v>
      </c>
      <c r="N30" s="62">
        <f>10052.05*1.1/3</f>
        <v>3685.7516666666666</v>
      </c>
      <c r="O30" s="62">
        <f>1520.44*1.1</f>
        <v>1672.4840000000002</v>
      </c>
      <c r="P30" s="62">
        <f>3284.18*1.1</f>
        <v>3612.598</v>
      </c>
      <c r="Q30" s="62">
        <f>1574.61*1.1</f>
        <v>1732.0710000000001</v>
      </c>
      <c r="AF30" s="38">
        <f>+E30</f>
        <v>154629.24</v>
      </c>
    </row>
    <row r="31" spans="2:32" x14ac:dyDescent="0.2">
      <c r="B31" s="48" t="s">
        <v>53</v>
      </c>
      <c r="C31" s="48"/>
      <c r="D31" s="50" t="s">
        <v>54</v>
      </c>
      <c r="E31" s="51">
        <f>SUM(E32:E34)</f>
        <v>138420.92000000001</v>
      </c>
      <c r="F31" s="52">
        <f t="shared" ref="F31:Q31" si="9">SUM(F32:F34)</f>
        <v>52890.333000000006</v>
      </c>
      <c r="G31" s="52">
        <f t="shared" si="9"/>
        <v>12201.030000000002</v>
      </c>
      <c r="H31" s="52">
        <f t="shared" si="9"/>
        <v>5860.174</v>
      </c>
      <c r="I31" s="52">
        <f t="shared" si="9"/>
        <v>2557.7220000000002</v>
      </c>
      <c r="J31" s="52">
        <f t="shared" si="9"/>
        <v>987.64200000000017</v>
      </c>
      <c r="K31" s="52">
        <f t="shared" si="9"/>
        <v>1269.4110000000001</v>
      </c>
      <c r="L31" s="52">
        <f t="shared" si="9"/>
        <v>2393.1966666666667</v>
      </c>
      <c r="M31" s="52">
        <f t="shared" si="9"/>
        <v>2437.1866666666665</v>
      </c>
      <c r="N31" s="52">
        <f t="shared" si="9"/>
        <v>2598.9866666666667</v>
      </c>
      <c r="O31" s="52">
        <f t="shared" si="9"/>
        <v>2326.1999999999998</v>
      </c>
      <c r="P31" s="52">
        <f t="shared" si="9"/>
        <v>1447.1399999999999</v>
      </c>
      <c r="Q31" s="52">
        <f t="shared" si="9"/>
        <v>883.32999999999993</v>
      </c>
      <c r="AF31" s="38"/>
    </row>
    <row r="32" spans="2:32" x14ac:dyDescent="0.2">
      <c r="B32" s="59" t="s">
        <v>55</v>
      </c>
      <c r="C32" s="59" t="s">
        <v>27</v>
      </c>
      <c r="D32" s="60" t="s">
        <v>56</v>
      </c>
      <c r="E32" s="61">
        <f>+'[1]BASE MENSUAL 2022 PRESUP.'!L33</f>
        <v>134384.68000000002</v>
      </c>
      <c r="F32" s="62">
        <f>46672.83*1.1</f>
        <v>51340.113000000005</v>
      </c>
      <c r="G32" s="62">
        <f>10630*1.1</f>
        <v>11693.000000000002</v>
      </c>
      <c r="H32" s="62">
        <f>5115.74*1.1</f>
        <v>5627.3140000000003</v>
      </c>
      <c r="I32" s="62">
        <f>2191.62*1.1</f>
        <v>2410.7820000000002</v>
      </c>
      <c r="J32" s="62">
        <f>719.82*1.1</f>
        <v>791.80200000000013</v>
      </c>
      <c r="K32" s="62">
        <f>1154.01*1.1</f>
        <v>1269.4110000000001</v>
      </c>
      <c r="L32" s="62">
        <f>6526.9*1.1/3</f>
        <v>2393.1966666666667</v>
      </c>
      <c r="M32" s="62">
        <f t="shared" ref="M32:N32" si="10">6526.9*1.1/3</f>
        <v>2393.1966666666667</v>
      </c>
      <c r="N32" s="62">
        <f t="shared" si="10"/>
        <v>2393.1966666666667</v>
      </c>
      <c r="O32" s="62">
        <v>2090.87</v>
      </c>
      <c r="P32" s="62">
        <v>1330.34</v>
      </c>
      <c r="Q32" s="62">
        <v>781.04</v>
      </c>
      <c r="AD32" s="38">
        <v>76831.149999999994</v>
      </c>
      <c r="AE32" s="42">
        <f>+AD32*1.05</f>
        <v>80672.707500000004</v>
      </c>
      <c r="AF32" s="38">
        <f>+E32</f>
        <v>134384.68000000002</v>
      </c>
    </row>
    <row r="33" spans="2:32" x14ac:dyDescent="0.2">
      <c r="B33" s="59" t="s">
        <v>57</v>
      </c>
      <c r="C33" s="59" t="s">
        <v>27</v>
      </c>
      <c r="D33" s="60" t="s">
        <v>58</v>
      </c>
      <c r="E33" s="61">
        <f>+'[1]BASE MENSUAL 2022 PRESUP.'!L34</f>
        <v>808.74</v>
      </c>
      <c r="F33" s="62">
        <v>730.25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AD33" s="38">
        <v>663.86</v>
      </c>
      <c r="AE33" s="42">
        <f t="shared" ref="AE33" si="11">+AD33*1.05</f>
        <v>697.053</v>
      </c>
      <c r="AF33" s="38">
        <f>+E33</f>
        <v>808.74</v>
      </c>
    </row>
    <row r="34" spans="2:32" x14ac:dyDescent="0.2">
      <c r="B34" s="59" t="s">
        <v>59</v>
      </c>
      <c r="C34" s="59" t="s">
        <v>27</v>
      </c>
      <c r="D34" s="60" t="s">
        <v>60</v>
      </c>
      <c r="E34" s="61">
        <f>+'[1]BASE MENSUAL 2022 PRESUP.'!L35</f>
        <v>3227.5000000000005</v>
      </c>
      <c r="F34" s="62">
        <v>819.97</v>
      </c>
      <c r="G34" s="62">
        <v>508.03</v>
      </c>
      <c r="H34" s="62">
        <v>232.86</v>
      </c>
      <c r="I34" s="62">
        <v>146.94</v>
      </c>
      <c r="J34" s="62">
        <v>195.84</v>
      </c>
      <c r="K34" s="62">
        <v>0</v>
      </c>
      <c r="L34" s="62">
        <v>0</v>
      </c>
      <c r="M34" s="62">
        <v>43.99</v>
      </c>
      <c r="N34" s="62">
        <v>205.79</v>
      </c>
      <c r="O34" s="62">
        <v>235.33</v>
      </c>
      <c r="P34" s="62">
        <v>116.8</v>
      </c>
      <c r="Q34" s="62">
        <v>102.29</v>
      </c>
      <c r="AD34" s="38">
        <v>2370.7800000000002</v>
      </c>
      <c r="AE34" s="42">
        <f>+AD34*1.1</f>
        <v>2607.8580000000006</v>
      </c>
      <c r="AF34" s="38">
        <f>+E34</f>
        <v>3227.5000000000005</v>
      </c>
    </row>
    <row r="35" spans="2:32" x14ac:dyDescent="0.2">
      <c r="B35" s="48" t="s">
        <v>61</v>
      </c>
      <c r="C35" s="48"/>
      <c r="D35" s="50" t="s">
        <v>62</v>
      </c>
      <c r="E35" s="51">
        <f>SUM(E36:E38)</f>
        <v>93049.32</v>
      </c>
      <c r="F35" s="52">
        <f t="shared" ref="F35:Q35" si="12">SUM(F36:F38)</f>
        <v>56615.63</v>
      </c>
      <c r="G35" s="52">
        <f t="shared" si="12"/>
        <v>5932.51</v>
      </c>
      <c r="H35" s="52">
        <f t="shared" si="12"/>
        <v>4683.24</v>
      </c>
      <c r="I35" s="52">
        <f t="shared" si="12"/>
        <v>2251.36</v>
      </c>
      <c r="J35" s="52">
        <f t="shared" si="12"/>
        <v>3298.71</v>
      </c>
      <c r="K35" s="52">
        <f t="shared" si="12"/>
        <v>871.96</v>
      </c>
      <c r="L35" s="52">
        <f t="shared" si="12"/>
        <v>530</v>
      </c>
      <c r="M35" s="52">
        <f t="shared" si="12"/>
        <v>663</v>
      </c>
      <c r="N35" s="52">
        <f t="shared" si="12"/>
        <v>1405.384</v>
      </c>
      <c r="O35" s="52">
        <f t="shared" si="12"/>
        <v>1488.3655000000001</v>
      </c>
      <c r="P35" s="52">
        <f t="shared" si="12"/>
        <v>1419.5695000000001</v>
      </c>
      <c r="Q35" s="52">
        <f t="shared" si="12"/>
        <v>1133.06</v>
      </c>
      <c r="AE35" s="42">
        <f>+AE34-E34</f>
        <v>-619.64199999999983</v>
      </c>
      <c r="AF35" s="38"/>
    </row>
    <row r="36" spans="2:32" x14ac:dyDescent="0.2">
      <c r="B36" s="59" t="s">
        <v>63</v>
      </c>
      <c r="C36" s="59" t="s">
        <v>27</v>
      </c>
      <c r="D36" s="60" t="s">
        <v>64</v>
      </c>
      <c r="E36" s="61">
        <f>+'[1]BASE MENSUAL 2022 PRESUP.'!L37</f>
        <v>3005.4</v>
      </c>
      <c r="F36" s="62">
        <v>1001.89</v>
      </c>
      <c r="G36" s="62">
        <v>0</v>
      </c>
      <c r="H36" s="62">
        <v>191.58</v>
      </c>
      <c r="I36" s="62">
        <v>190.34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100</v>
      </c>
      <c r="AD36" s="38">
        <v>1343.51</v>
      </c>
      <c r="AE36" s="42">
        <f>+AD36*1.1</f>
        <v>1477.8610000000001</v>
      </c>
      <c r="AF36" s="38">
        <f>+E36</f>
        <v>3005.4</v>
      </c>
    </row>
    <row r="37" spans="2:32" x14ac:dyDescent="0.2">
      <c r="B37" s="59" t="s">
        <v>65</v>
      </c>
      <c r="C37" s="59" t="s">
        <v>27</v>
      </c>
      <c r="D37" s="60" t="s">
        <v>66</v>
      </c>
      <c r="E37" s="61">
        <f>+'[1]BASE MENSUAL 2022 PRESUP.'!L38</f>
        <v>90043.920000000013</v>
      </c>
      <c r="F37" s="62">
        <v>55613.74</v>
      </c>
      <c r="G37" s="62">
        <v>5932.51</v>
      </c>
      <c r="H37" s="62">
        <v>4491.66</v>
      </c>
      <c r="I37" s="62">
        <v>2061.02</v>
      </c>
      <c r="J37" s="62">
        <v>3298.71</v>
      </c>
      <c r="K37" s="62">
        <v>871.96</v>
      </c>
      <c r="L37" s="62">
        <v>530</v>
      </c>
      <c r="M37" s="62">
        <v>600</v>
      </c>
      <c r="N37" s="62">
        <v>1042</v>
      </c>
      <c r="O37" s="62">
        <v>1042</v>
      </c>
      <c r="P37" s="62">
        <v>1042</v>
      </c>
      <c r="Q37" s="62">
        <v>900</v>
      </c>
      <c r="AD37" s="38">
        <v>70378.94</v>
      </c>
      <c r="AE37" s="42">
        <f>+AD37*1.1</f>
        <v>77416.834000000003</v>
      </c>
      <c r="AF37" s="38">
        <f>+E37</f>
        <v>90043.920000000013</v>
      </c>
    </row>
    <row r="38" spans="2:32" x14ac:dyDescent="0.2">
      <c r="B38" s="59" t="s">
        <v>67</v>
      </c>
      <c r="C38" s="59" t="s">
        <v>27</v>
      </c>
      <c r="D38" s="60" t="s">
        <v>68</v>
      </c>
      <c r="E38" s="61">
        <f>+'[1]BASE MENSUAL 2022 PRESUP.'!L39</f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63</v>
      </c>
      <c r="N38" s="62">
        <f>346.08*1.05</f>
        <v>363.38400000000001</v>
      </c>
      <c r="O38" s="62">
        <f>425.11*1.05</f>
        <v>446.36550000000005</v>
      </c>
      <c r="P38" s="62">
        <f>359.59*1.05</f>
        <v>377.56950000000001</v>
      </c>
      <c r="Q38" s="62">
        <v>133.06</v>
      </c>
      <c r="AD38" s="38">
        <v>1257.5</v>
      </c>
      <c r="AE38" s="42">
        <f>+AD38*1.1</f>
        <v>1383.25</v>
      </c>
      <c r="AF38" s="38">
        <f>+E38</f>
        <v>0</v>
      </c>
    </row>
    <row r="39" spans="2:32" x14ac:dyDescent="0.2">
      <c r="B39" s="48" t="s">
        <v>69</v>
      </c>
      <c r="C39" s="59" t="s">
        <v>27</v>
      </c>
      <c r="D39" s="60" t="s">
        <v>70</v>
      </c>
      <c r="E39" s="61">
        <f>+'[1]BASE MENSUAL 2022 PRESUP.'!L40</f>
        <v>0</v>
      </c>
      <c r="F39" s="62">
        <v>-72644.77</v>
      </c>
      <c r="G39" s="62">
        <v>-12918.67</v>
      </c>
      <c r="H39" s="62">
        <v>-8532.99</v>
      </c>
      <c r="I39" s="62">
        <v>-1125.68</v>
      </c>
      <c r="J39" s="62">
        <v>-1649.36</v>
      </c>
      <c r="K39" s="62">
        <v>-435.98</v>
      </c>
      <c r="L39" s="62">
        <v>-265</v>
      </c>
      <c r="M39" s="62">
        <v>-331.5</v>
      </c>
      <c r="N39" s="62">
        <v>-702.69</v>
      </c>
      <c r="O39" s="62">
        <v>-744.18</v>
      </c>
      <c r="P39" s="62">
        <v>-709.78</v>
      </c>
      <c r="Q39" s="62">
        <v>-566.53</v>
      </c>
      <c r="AF39" s="38">
        <f>+E39</f>
        <v>0</v>
      </c>
    </row>
    <row r="40" spans="2:32" x14ac:dyDescent="0.2">
      <c r="B40" s="48" t="s">
        <v>71</v>
      </c>
      <c r="C40" s="48"/>
      <c r="D40" s="50" t="s">
        <v>72</v>
      </c>
      <c r="E40" s="51">
        <f t="shared" ref="E40:Q40" si="13">+E41+E54</f>
        <v>227653.09999999995</v>
      </c>
      <c r="F40" s="52">
        <f t="shared" si="13"/>
        <v>154392.04999999999</v>
      </c>
      <c r="G40" s="52">
        <f t="shared" si="13"/>
        <v>40500.75</v>
      </c>
      <c r="H40" s="52">
        <f t="shared" si="13"/>
        <v>31139.7</v>
      </c>
      <c r="I40" s="52">
        <f t="shared" si="13"/>
        <v>15124.34</v>
      </c>
      <c r="J40" s="52">
        <f t="shared" si="13"/>
        <v>12596.7</v>
      </c>
      <c r="K40" s="52">
        <f t="shared" si="13"/>
        <v>9636.09</v>
      </c>
      <c r="L40" s="52">
        <f t="shared" si="13"/>
        <v>15659.88</v>
      </c>
      <c r="M40" s="52">
        <f t="shared" si="13"/>
        <v>13500</v>
      </c>
      <c r="N40" s="52">
        <f t="shared" si="13"/>
        <v>12600</v>
      </c>
      <c r="O40" s="52">
        <f t="shared" si="13"/>
        <v>6600</v>
      </c>
      <c r="P40" s="52">
        <f t="shared" si="13"/>
        <v>2800</v>
      </c>
      <c r="Q40" s="52">
        <f t="shared" si="13"/>
        <v>2800</v>
      </c>
      <c r="AD40" s="38">
        <v>276892.46000000002</v>
      </c>
      <c r="AF40" s="38"/>
    </row>
    <row r="41" spans="2:32" hidden="1" x14ac:dyDescent="0.2">
      <c r="B41" s="48" t="s">
        <v>73</v>
      </c>
      <c r="C41" s="48"/>
      <c r="D41" s="50" t="s">
        <v>74</v>
      </c>
      <c r="E41" s="51">
        <f>+E42</f>
        <v>227653.09999999995</v>
      </c>
      <c r="F41" s="52">
        <f t="shared" ref="F41:Q42" si="14">+F42</f>
        <v>154392.04999999999</v>
      </c>
      <c r="G41" s="52">
        <f t="shared" si="14"/>
        <v>40500.75</v>
      </c>
      <c r="H41" s="52">
        <f t="shared" si="14"/>
        <v>31139.7</v>
      </c>
      <c r="I41" s="52">
        <f t="shared" si="14"/>
        <v>15124.34</v>
      </c>
      <c r="J41" s="52">
        <f t="shared" si="14"/>
        <v>12596.7</v>
      </c>
      <c r="K41" s="52">
        <f t="shared" si="14"/>
        <v>9636.09</v>
      </c>
      <c r="L41" s="52">
        <f t="shared" si="14"/>
        <v>15659.88</v>
      </c>
      <c r="M41" s="52">
        <f t="shared" si="14"/>
        <v>13500</v>
      </c>
      <c r="N41" s="52">
        <f t="shared" si="14"/>
        <v>12600</v>
      </c>
      <c r="O41" s="52">
        <f t="shared" si="14"/>
        <v>6600</v>
      </c>
      <c r="P41" s="52">
        <f t="shared" si="14"/>
        <v>2800</v>
      </c>
      <c r="Q41" s="52">
        <f t="shared" si="14"/>
        <v>2800</v>
      </c>
      <c r="AD41" s="64">
        <v>1</v>
      </c>
      <c r="AE41" s="42">
        <f>+E40*AD41/AD40</f>
        <v>0.82217153908777407</v>
      </c>
      <c r="AF41" s="38"/>
    </row>
    <row r="42" spans="2:32" x14ac:dyDescent="0.2">
      <c r="B42" s="48" t="s">
        <v>73</v>
      </c>
      <c r="C42" s="48"/>
      <c r="D42" s="50" t="s">
        <v>75</v>
      </c>
      <c r="E42" s="51">
        <f>+E43</f>
        <v>227653.09999999995</v>
      </c>
      <c r="F42" s="52">
        <f t="shared" si="14"/>
        <v>154392.04999999999</v>
      </c>
      <c r="G42" s="52">
        <f t="shared" si="14"/>
        <v>40500.75</v>
      </c>
      <c r="H42" s="52">
        <f t="shared" si="14"/>
        <v>31139.7</v>
      </c>
      <c r="I42" s="52">
        <f t="shared" si="14"/>
        <v>15124.34</v>
      </c>
      <c r="J42" s="52">
        <f t="shared" si="14"/>
        <v>12596.7</v>
      </c>
      <c r="K42" s="52">
        <f t="shared" si="14"/>
        <v>9636.09</v>
      </c>
      <c r="L42" s="52">
        <f t="shared" si="14"/>
        <v>15659.88</v>
      </c>
      <c r="M42" s="52">
        <f t="shared" si="14"/>
        <v>13500</v>
      </c>
      <c r="N42" s="52">
        <f t="shared" si="14"/>
        <v>12600</v>
      </c>
      <c r="O42" s="52">
        <f t="shared" si="14"/>
        <v>6600</v>
      </c>
      <c r="P42" s="52">
        <f t="shared" si="14"/>
        <v>2800</v>
      </c>
      <c r="Q42" s="52">
        <f t="shared" si="14"/>
        <v>2800</v>
      </c>
      <c r="AF42" s="38"/>
    </row>
    <row r="43" spans="2:32" x14ac:dyDescent="0.2">
      <c r="B43" s="48" t="s">
        <v>76</v>
      </c>
      <c r="C43" s="59" t="s">
        <v>27</v>
      </c>
      <c r="D43" s="60" t="s">
        <v>77</v>
      </c>
      <c r="E43" s="61">
        <f>+'[1]BASE MENSUAL 2022 PRESUP.'!L44</f>
        <v>227653.09999999995</v>
      </c>
      <c r="F43" s="62">
        <v>154392.04999999999</v>
      </c>
      <c r="G43" s="62">
        <v>40500.75</v>
      </c>
      <c r="H43" s="62">
        <v>31139.7</v>
      </c>
      <c r="I43" s="62">
        <v>15124.34</v>
      </c>
      <c r="J43" s="62">
        <v>12596.7</v>
      </c>
      <c r="K43" s="62">
        <v>9636.09</v>
      </c>
      <c r="L43" s="62">
        <v>15659.88</v>
      </c>
      <c r="M43" s="62">
        <v>13500</v>
      </c>
      <c r="N43" s="62">
        <v>12600</v>
      </c>
      <c r="O43" s="62">
        <v>6600</v>
      </c>
      <c r="P43" s="62">
        <v>2800</v>
      </c>
      <c r="Q43" s="62">
        <v>2800</v>
      </c>
      <c r="AD43" s="38">
        <v>104398.39999999999</v>
      </c>
      <c r="AF43" s="38">
        <f>+E43</f>
        <v>227653.09999999995</v>
      </c>
    </row>
    <row r="44" spans="2:32" x14ac:dyDescent="0.2">
      <c r="B44" s="48" t="s">
        <v>78</v>
      </c>
      <c r="C44" s="48"/>
      <c r="D44" s="50" t="s">
        <v>79</v>
      </c>
      <c r="E44" s="51">
        <f>+E45</f>
        <v>154563.64999999997</v>
      </c>
      <c r="F44" s="52">
        <f t="shared" ref="F44:Q44" si="15">+F45</f>
        <v>17785.990000000002</v>
      </c>
      <c r="G44" s="52">
        <f t="shared" si="15"/>
        <v>12042.27</v>
      </c>
      <c r="H44" s="52">
        <f t="shared" si="15"/>
        <v>7717.34</v>
      </c>
      <c r="I44" s="52">
        <f t="shared" si="15"/>
        <v>9501.2900000000009</v>
      </c>
      <c r="J44" s="52">
        <f t="shared" si="15"/>
        <v>6076.9</v>
      </c>
      <c r="K44" s="52">
        <f t="shared" si="15"/>
        <v>3511.38</v>
      </c>
      <c r="L44" s="52">
        <f t="shared" si="15"/>
        <v>6417.1</v>
      </c>
      <c r="M44" s="52">
        <f t="shared" si="15"/>
        <v>6417.1</v>
      </c>
      <c r="N44" s="52">
        <f t="shared" si="15"/>
        <v>6417.1</v>
      </c>
      <c r="O44" s="52">
        <f t="shared" si="15"/>
        <v>9231.52</v>
      </c>
      <c r="P44" s="52">
        <f t="shared" si="15"/>
        <v>9735.58</v>
      </c>
      <c r="Q44" s="52">
        <f t="shared" si="15"/>
        <v>784.52</v>
      </c>
      <c r="R44" s="65">
        <f>+AD45</f>
        <v>86943.71</v>
      </c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E44" s="66"/>
      <c r="AF44" s="38"/>
    </row>
    <row r="45" spans="2:32" x14ac:dyDescent="0.2">
      <c r="B45" s="59" t="s">
        <v>73</v>
      </c>
      <c r="C45" s="59" t="s">
        <v>27</v>
      </c>
      <c r="D45" s="60" t="s">
        <v>80</v>
      </c>
      <c r="E45" s="61">
        <f>+'[1]BASE MENSUAL 2022 PRESUP.'!L46</f>
        <v>154563.64999999997</v>
      </c>
      <c r="F45" s="62">
        <v>17785.990000000002</v>
      </c>
      <c r="G45" s="62">
        <v>12042.27</v>
      </c>
      <c r="H45" s="62">
        <v>7717.34</v>
      </c>
      <c r="I45" s="62">
        <v>9501.2900000000009</v>
      </c>
      <c r="J45" s="62">
        <v>6076.9</v>
      </c>
      <c r="K45" s="62">
        <v>3511.38</v>
      </c>
      <c r="L45" s="62">
        <v>6417.1</v>
      </c>
      <c r="M45" s="62">
        <v>6417.1</v>
      </c>
      <c r="N45" s="62">
        <v>6417.1</v>
      </c>
      <c r="O45" s="62">
        <v>9231.52</v>
      </c>
      <c r="P45" s="62">
        <v>9735.58</v>
      </c>
      <c r="Q45" s="62">
        <v>784.52</v>
      </c>
      <c r="AD45" s="38">
        <v>86943.71</v>
      </c>
      <c r="AE45" s="42">
        <f>+AD45*1.05</f>
        <v>91290.895500000013</v>
      </c>
      <c r="AF45" s="38">
        <f>+E45</f>
        <v>154563.64999999997</v>
      </c>
    </row>
    <row r="46" spans="2:32" x14ac:dyDescent="0.2">
      <c r="B46" s="48" t="s">
        <v>81</v>
      </c>
      <c r="C46" s="48"/>
      <c r="D46" s="50" t="s">
        <v>82</v>
      </c>
      <c r="E46" s="51">
        <f>+E47</f>
        <v>0</v>
      </c>
      <c r="F46" s="52">
        <f t="shared" ref="F46:Q46" si="16">+F47+F40</f>
        <v>154392.04999999999</v>
      </c>
      <c r="G46" s="52">
        <f t="shared" si="16"/>
        <v>40500.75</v>
      </c>
      <c r="H46" s="52">
        <f t="shared" si="16"/>
        <v>31139.7</v>
      </c>
      <c r="I46" s="52">
        <f t="shared" si="16"/>
        <v>15124.34</v>
      </c>
      <c r="J46" s="52">
        <f t="shared" si="16"/>
        <v>12596.7</v>
      </c>
      <c r="K46" s="52">
        <f t="shared" si="16"/>
        <v>9636.09</v>
      </c>
      <c r="L46" s="52">
        <f t="shared" si="16"/>
        <v>15659.88</v>
      </c>
      <c r="M46" s="52">
        <f t="shared" si="16"/>
        <v>13500</v>
      </c>
      <c r="N46" s="52">
        <f t="shared" si="16"/>
        <v>12600</v>
      </c>
      <c r="O46" s="52">
        <f t="shared" si="16"/>
        <v>6600</v>
      </c>
      <c r="P46" s="52">
        <f t="shared" si="16"/>
        <v>2800</v>
      </c>
      <c r="Q46" s="52">
        <f t="shared" si="16"/>
        <v>2800</v>
      </c>
      <c r="AF46" s="38"/>
    </row>
    <row r="47" spans="2:32" hidden="1" x14ac:dyDescent="0.2">
      <c r="B47" s="48" t="s">
        <v>83</v>
      </c>
      <c r="C47" s="48"/>
      <c r="D47" s="50" t="s">
        <v>84</v>
      </c>
      <c r="E47" s="51">
        <f>SUM(E48:E53)</f>
        <v>0</v>
      </c>
      <c r="F47" s="52">
        <f t="shared" ref="F47:Q47" si="17">SUM(F48:F53)</f>
        <v>0</v>
      </c>
      <c r="G47" s="52">
        <f t="shared" si="17"/>
        <v>0</v>
      </c>
      <c r="H47" s="52">
        <f t="shared" si="17"/>
        <v>0</v>
      </c>
      <c r="I47" s="52">
        <f t="shared" si="17"/>
        <v>0</v>
      </c>
      <c r="J47" s="52">
        <f t="shared" si="17"/>
        <v>0</v>
      </c>
      <c r="K47" s="52">
        <f t="shared" si="17"/>
        <v>0</v>
      </c>
      <c r="L47" s="52">
        <f t="shared" si="17"/>
        <v>0</v>
      </c>
      <c r="M47" s="52">
        <f t="shared" si="17"/>
        <v>0</v>
      </c>
      <c r="N47" s="52">
        <f t="shared" si="17"/>
        <v>0</v>
      </c>
      <c r="O47" s="52">
        <f t="shared" si="17"/>
        <v>0</v>
      </c>
      <c r="P47" s="52">
        <f t="shared" si="17"/>
        <v>0</v>
      </c>
      <c r="Q47" s="52">
        <f t="shared" si="17"/>
        <v>0</v>
      </c>
      <c r="AF47" s="38"/>
    </row>
    <row r="48" spans="2:32" hidden="1" x14ac:dyDescent="0.2">
      <c r="B48" s="59" t="s">
        <v>85</v>
      </c>
      <c r="C48" s="59" t="s">
        <v>27</v>
      </c>
      <c r="D48" s="60" t="s">
        <v>86</v>
      </c>
      <c r="E48" s="61">
        <f t="shared" ref="E48:E53" si="18">SUM(F48:Q48)</f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AD48" s="38">
        <f>115872.94*1.1</f>
        <v>127460.23400000001</v>
      </c>
      <c r="AF48" s="38">
        <f t="shared" ref="AF48:AF53" si="19">+E48</f>
        <v>0</v>
      </c>
    </row>
    <row r="49" spans="2:32" hidden="1" x14ac:dyDescent="0.2">
      <c r="B49" s="59" t="s">
        <v>87</v>
      </c>
      <c r="C49" s="59" t="s">
        <v>27</v>
      </c>
      <c r="D49" s="60" t="s">
        <v>88</v>
      </c>
      <c r="E49" s="61">
        <f t="shared" si="18"/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AD49" s="38">
        <f>116593.72*1.03</f>
        <v>120091.5316</v>
      </c>
      <c r="AF49" s="38">
        <f t="shared" si="19"/>
        <v>0</v>
      </c>
    </row>
    <row r="50" spans="2:32" hidden="1" x14ac:dyDescent="0.2">
      <c r="B50" s="59" t="s">
        <v>89</v>
      </c>
      <c r="C50" s="59" t="s">
        <v>27</v>
      </c>
      <c r="D50" s="60" t="s">
        <v>90</v>
      </c>
      <c r="E50" s="61">
        <f t="shared" si="18"/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AF50" s="38">
        <f t="shared" si="19"/>
        <v>0</v>
      </c>
    </row>
    <row r="51" spans="2:32" hidden="1" x14ac:dyDescent="0.2">
      <c r="B51" s="59" t="s">
        <v>91</v>
      </c>
      <c r="C51" s="59" t="s">
        <v>27</v>
      </c>
      <c r="D51" s="60" t="s">
        <v>92</v>
      </c>
      <c r="E51" s="61">
        <f t="shared" si="18"/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AF51" s="38">
        <f t="shared" si="19"/>
        <v>0</v>
      </c>
    </row>
    <row r="52" spans="2:32" hidden="1" x14ac:dyDescent="0.2">
      <c r="B52" s="59" t="s">
        <v>93</v>
      </c>
      <c r="C52" s="59" t="s">
        <v>27</v>
      </c>
      <c r="D52" s="60" t="s">
        <v>94</v>
      </c>
      <c r="E52" s="61">
        <f t="shared" si="18"/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AF52" s="38">
        <f t="shared" si="19"/>
        <v>0</v>
      </c>
    </row>
    <row r="53" spans="2:32" hidden="1" x14ac:dyDescent="0.2">
      <c r="B53" s="59" t="s">
        <v>95</v>
      </c>
      <c r="C53" s="59" t="s">
        <v>27</v>
      </c>
      <c r="D53" s="60" t="s">
        <v>96</v>
      </c>
      <c r="E53" s="61">
        <f t="shared" si="18"/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AF53" s="38">
        <f t="shared" si="19"/>
        <v>0</v>
      </c>
    </row>
    <row r="54" spans="2:32" hidden="1" x14ac:dyDescent="0.2">
      <c r="B54" s="48" t="s">
        <v>97</v>
      </c>
      <c r="C54" s="48"/>
      <c r="D54" s="50" t="s">
        <v>98</v>
      </c>
      <c r="E54" s="51">
        <f>+E55</f>
        <v>0</v>
      </c>
      <c r="F54" s="52">
        <f t="shared" ref="F54:Q54" si="20">+F55</f>
        <v>0</v>
      </c>
      <c r="G54" s="52">
        <f t="shared" si="20"/>
        <v>0</v>
      </c>
      <c r="H54" s="52">
        <f t="shared" si="20"/>
        <v>0</v>
      </c>
      <c r="I54" s="52">
        <f t="shared" si="20"/>
        <v>0</v>
      </c>
      <c r="J54" s="52">
        <f t="shared" si="20"/>
        <v>0</v>
      </c>
      <c r="K54" s="52">
        <f t="shared" si="20"/>
        <v>0</v>
      </c>
      <c r="L54" s="52">
        <f t="shared" si="20"/>
        <v>0</v>
      </c>
      <c r="M54" s="52">
        <f t="shared" si="20"/>
        <v>0</v>
      </c>
      <c r="N54" s="52">
        <f t="shared" si="20"/>
        <v>0</v>
      </c>
      <c r="O54" s="52">
        <f t="shared" si="20"/>
        <v>0</v>
      </c>
      <c r="P54" s="52">
        <f t="shared" si="20"/>
        <v>0</v>
      </c>
      <c r="Q54" s="52">
        <f t="shared" si="20"/>
        <v>0</v>
      </c>
      <c r="AF54" s="38"/>
    </row>
    <row r="55" spans="2:32" hidden="1" x14ac:dyDescent="0.2">
      <c r="B55" s="59" t="s">
        <v>99</v>
      </c>
      <c r="C55" s="59" t="s">
        <v>100</v>
      </c>
      <c r="D55" s="60" t="s">
        <v>101</v>
      </c>
      <c r="E55" s="61">
        <f>SUM(F55:Q55)</f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AD55" s="38">
        <v>243858.36</v>
      </c>
      <c r="AF55" s="38">
        <f>+E55</f>
        <v>0</v>
      </c>
    </row>
    <row r="56" spans="2:32" x14ac:dyDescent="0.2">
      <c r="B56" s="48" t="s">
        <v>102</v>
      </c>
      <c r="C56" s="48"/>
      <c r="D56" s="50" t="s">
        <v>103</v>
      </c>
      <c r="E56" s="51">
        <f>+E57+E63+E66</f>
        <v>1735756.6500000001</v>
      </c>
      <c r="F56" s="52">
        <f t="shared" ref="F56:Q56" si="21">+F57+F63+F66</f>
        <v>326822.54000000004</v>
      </c>
      <c r="G56" s="52">
        <f t="shared" si="21"/>
        <v>161979.402</v>
      </c>
      <c r="H56" s="52">
        <f t="shared" si="21"/>
        <v>166523.06400000001</v>
      </c>
      <c r="I56" s="52">
        <f t="shared" si="21"/>
        <v>172038.84</v>
      </c>
      <c r="J56" s="52">
        <f t="shared" si="21"/>
        <v>182720.61600000001</v>
      </c>
      <c r="K56" s="52">
        <f t="shared" si="21"/>
        <v>173569.21799999999</v>
      </c>
      <c r="L56" s="52">
        <f t="shared" si="21"/>
        <v>133230.03733333331</v>
      </c>
      <c r="M56" s="52">
        <f t="shared" si="21"/>
        <v>134968.51733333335</v>
      </c>
      <c r="N56" s="52">
        <f t="shared" si="21"/>
        <v>219999.82533333334</v>
      </c>
      <c r="O56" s="52">
        <f t="shared" si="21"/>
        <v>127663.35600000001</v>
      </c>
      <c r="P56" s="52">
        <f t="shared" si="21"/>
        <v>111608.26000000001</v>
      </c>
      <c r="Q56" s="52">
        <f t="shared" si="21"/>
        <v>118798.36800000002</v>
      </c>
      <c r="AF56" s="38"/>
    </row>
    <row r="57" spans="2:32" x14ac:dyDescent="0.2">
      <c r="B57" s="48" t="s">
        <v>104</v>
      </c>
      <c r="C57" s="48"/>
      <c r="D57" s="50" t="s">
        <v>105</v>
      </c>
      <c r="E57" s="51">
        <f>SUM(E58:E62)</f>
        <v>237785.25999999998</v>
      </c>
      <c r="F57" s="52">
        <f t="shared" ref="F57:Q57" si="22">SUM(F58:F62)</f>
        <v>122105.06000000003</v>
      </c>
      <c r="G57" s="52">
        <f t="shared" si="22"/>
        <v>32594.342000000001</v>
      </c>
      <c r="H57" s="52">
        <f t="shared" si="22"/>
        <v>23195.744000000002</v>
      </c>
      <c r="I57" s="52">
        <f t="shared" si="22"/>
        <v>15117.080000000002</v>
      </c>
      <c r="J57" s="52">
        <f t="shared" si="22"/>
        <v>11203.456</v>
      </c>
      <c r="K57" s="52">
        <f t="shared" si="22"/>
        <v>7303.7579999999998</v>
      </c>
      <c r="L57" s="52">
        <f t="shared" si="22"/>
        <v>4493.6173333333336</v>
      </c>
      <c r="M57" s="52">
        <f t="shared" si="22"/>
        <v>4493.6173333333336</v>
      </c>
      <c r="N57" s="52">
        <f t="shared" si="22"/>
        <v>25022.125333333337</v>
      </c>
      <c r="O57" s="52">
        <f t="shared" si="22"/>
        <v>9410.1260000000002</v>
      </c>
      <c r="P57" s="52">
        <f t="shared" si="22"/>
        <v>12736.350000000002</v>
      </c>
      <c r="Q57" s="52">
        <f t="shared" si="22"/>
        <v>4710.9480000000003</v>
      </c>
      <c r="AF57" s="38"/>
    </row>
    <row r="58" spans="2:32" x14ac:dyDescent="0.2">
      <c r="B58" s="59" t="s">
        <v>106</v>
      </c>
      <c r="C58" s="59" t="s">
        <v>27</v>
      </c>
      <c r="D58" s="60" t="s">
        <v>107</v>
      </c>
      <c r="E58" s="61">
        <f>+'[1]BASE MENSUAL 2022 PRESUP.'!L63</f>
        <v>84744.659999999989</v>
      </c>
      <c r="F58" s="62">
        <f>35364.44*1.1</f>
        <v>38900.884000000005</v>
      </c>
      <c r="G58" s="62">
        <f>9533*1.1</f>
        <v>10486.300000000001</v>
      </c>
      <c r="H58" s="62">
        <f>6481.91*1.1</f>
        <v>7130.1010000000006</v>
      </c>
      <c r="I58" s="62">
        <f>4898.68*1.1</f>
        <v>5388.5480000000007</v>
      </c>
      <c r="J58" s="62">
        <f>3449.42*1.1</f>
        <v>3794.3620000000005</v>
      </c>
      <c r="K58" s="62">
        <f>2062.99*1.1</f>
        <v>2269.2889999999998</v>
      </c>
      <c r="L58" s="62">
        <v>0</v>
      </c>
      <c r="M58" s="62">
        <v>0</v>
      </c>
      <c r="N58" s="62">
        <f>9331.14*1.1</f>
        <v>10264.254000000001</v>
      </c>
      <c r="O58" s="62">
        <f>3226.44*1.1</f>
        <v>3549.0840000000003</v>
      </c>
      <c r="P58" s="62">
        <f>3978.11*1.1</f>
        <v>4375.9210000000003</v>
      </c>
      <c r="Q58" s="62">
        <f>677.98*1.1</f>
        <v>745.77800000000013</v>
      </c>
      <c r="AF58" s="38">
        <f>+E58</f>
        <v>84744.659999999989</v>
      </c>
    </row>
    <row r="59" spans="2:32" x14ac:dyDescent="0.2">
      <c r="B59" s="59" t="s">
        <v>108</v>
      </c>
      <c r="C59" s="59" t="s">
        <v>27</v>
      </c>
      <c r="D59" s="60" t="s">
        <v>109</v>
      </c>
      <c r="E59" s="61">
        <f>+'[1]BASE MENSUAL 2022 PRESUP.'!L64</f>
        <v>84744.659999999989</v>
      </c>
      <c r="F59" s="62">
        <f>35364.44*1.1</f>
        <v>38900.884000000005</v>
      </c>
      <c r="G59" s="62">
        <f>9533*1.1</f>
        <v>10486.300000000001</v>
      </c>
      <c r="H59" s="62">
        <f>6481.91*1.1</f>
        <v>7130.1010000000006</v>
      </c>
      <c r="I59" s="62">
        <f>4898.68*1.1</f>
        <v>5388.5480000000007</v>
      </c>
      <c r="J59" s="62">
        <f>3449.42*1.1</f>
        <v>3794.3620000000005</v>
      </c>
      <c r="K59" s="62">
        <f>2062.99*1.1</f>
        <v>2269.2889999999998</v>
      </c>
      <c r="L59" s="62">
        <v>0</v>
      </c>
      <c r="M59" s="62">
        <v>0</v>
      </c>
      <c r="N59" s="62">
        <f>9331.14*1.1</f>
        <v>10264.254000000001</v>
      </c>
      <c r="O59" s="62">
        <f>3226.44*1.1</f>
        <v>3549.0840000000003</v>
      </c>
      <c r="P59" s="62">
        <f>3978.11*1.1</f>
        <v>4375.9210000000003</v>
      </c>
      <c r="Q59" s="62">
        <f>677.98*1.1</f>
        <v>745.77800000000013</v>
      </c>
      <c r="AF59" s="38">
        <f>+E59</f>
        <v>84744.659999999989</v>
      </c>
    </row>
    <row r="60" spans="2:32" x14ac:dyDescent="0.2">
      <c r="B60" s="59" t="s">
        <v>110</v>
      </c>
      <c r="C60" s="59" t="s">
        <v>27</v>
      </c>
      <c r="D60" s="60" t="s">
        <v>111</v>
      </c>
      <c r="E60" s="61">
        <f>+'[1]BASE MENSUAL 2022 PRESUP.'!L65</f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AF60" s="38">
        <f>+E60</f>
        <v>0</v>
      </c>
    </row>
    <row r="61" spans="2:32" x14ac:dyDescent="0.2">
      <c r="B61" s="59" t="s">
        <v>112</v>
      </c>
      <c r="C61" s="59" t="s">
        <v>27</v>
      </c>
      <c r="D61" s="60" t="s">
        <v>113</v>
      </c>
      <c r="E61" s="61">
        <f>+'[1]BASE MENSUAL 2022 PRESUP.'!L66</f>
        <v>34147.97</v>
      </c>
      <c r="F61" s="62">
        <f>20137.86*1.1</f>
        <v>22151.646000000001</v>
      </c>
      <c r="G61" s="62">
        <f>5282.61*1.1</f>
        <v>5810.8710000000001</v>
      </c>
      <c r="H61" s="62">
        <f>4061.61*1.1</f>
        <v>4467.7710000000006</v>
      </c>
      <c r="I61" s="62">
        <f>1972.72*1.1</f>
        <v>2169.9920000000002</v>
      </c>
      <c r="J61" s="62">
        <f>1643.06*1.1</f>
        <v>1807.366</v>
      </c>
      <c r="K61" s="62">
        <f>1256.9*1.1</f>
        <v>1382.5900000000001</v>
      </c>
      <c r="L61" s="62">
        <f t="shared" ref="L61:M62" si="23">6127.66*1.1/3</f>
        <v>2246.8086666666668</v>
      </c>
      <c r="M61" s="62">
        <f t="shared" si="23"/>
        <v>2246.8086666666668</v>
      </c>
      <c r="N61" s="62">
        <f>6127.66*1.1/3</f>
        <v>2246.8086666666668</v>
      </c>
      <c r="O61" s="62">
        <f>1050.89*1.1</f>
        <v>1155.9790000000003</v>
      </c>
      <c r="P61" s="62">
        <f>1811.14*1.1</f>
        <v>1992.2540000000004</v>
      </c>
      <c r="Q61" s="62">
        <f>1463.36*1.1</f>
        <v>1609.6959999999999</v>
      </c>
      <c r="AF61" s="38">
        <f>+E61</f>
        <v>34147.97</v>
      </c>
    </row>
    <row r="62" spans="2:32" x14ac:dyDescent="0.2">
      <c r="B62" s="59" t="s">
        <v>114</v>
      </c>
      <c r="C62" s="59" t="s">
        <v>27</v>
      </c>
      <c r="D62" s="60" t="s">
        <v>115</v>
      </c>
      <c r="E62" s="61">
        <f>+'[1]BASE MENSUAL 2022 PRESUP.'!L67</f>
        <v>34147.97</v>
      </c>
      <c r="F62" s="62">
        <f>20137.86*1.1</f>
        <v>22151.646000000001</v>
      </c>
      <c r="G62" s="62">
        <f>5282.61*1.1</f>
        <v>5810.8710000000001</v>
      </c>
      <c r="H62" s="62">
        <f>4061.61*1.1</f>
        <v>4467.7710000000006</v>
      </c>
      <c r="I62" s="62">
        <f>1972.72*1.1</f>
        <v>2169.9920000000002</v>
      </c>
      <c r="J62" s="62">
        <f>1643.06*1.1</f>
        <v>1807.366</v>
      </c>
      <c r="K62" s="62">
        <f>1256.9*1.1</f>
        <v>1382.5900000000001</v>
      </c>
      <c r="L62" s="62">
        <f t="shared" si="23"/>
        <v>2246.8086666666668</v>
      </c>
      <c r="M62" s="62">
        <f t="shared" si="23"/>
        <v>2246.8086666666668</v>
      </c>
      <c r="N62" s="62">
        <f>6127.66*1.1/3</f>
        <v>2246.8086666666668</v>
      </c>
      <c r="O62" s="62">
        <f>1050.89*1.1</f>
        <v>1155.9790000000003</v>
      </c>
      <c r="P62" s="62">
        <f>1811.14*1.1</f>
        <v>1992.2540000000004</v>
      </c>
      <c r="Q62" s="62">
        <f>1463.36*1.1</f>
        <v>1609.6959999999999</v>
      </c>
      <c r="AF62" s="38">
        <f>+E62</f>
        <v>34147.97</v>
      </c>
    </row>
    <row r="63" spans="2:32" x14ac:dyDescent="0.2">
      <c r="B63" s="48" t="s">
        <v>116</v>
      </c>
      <c r="C63" s="48"/>
      <c r="D63" s="50" t="s">
        <v>117</v>
      </c>
      <c r="E63" s="51">
        <f>SUM(E64:E65)</f>
        <v>1354928.9200000002</v>
      </c>
      <c r="F63" s="52">
        <f t="shared" ref="F63:R63" si="24">SUM(F64:F65)</f>
        <v>142447.42000000001</v>
      </c>
      <c r="G63" s="52">
        <f t="shared" si="24"/>
        <v>118791.4</v>
      </c>
      <c r="H63" s="52">
        <f t="shared" si="24"/>
        <v>132579.06</v>
      </c>
      <c r="I63" s="52">
        <f t="shared" si="24"/>
        <v>147704.68</v>
      </c>
      <c r="J63" s="52">
        <f t="shared" si="24"/>
        <v>163257.54</v>
      </c>
      <c r="K63" s="52">
        <f t="shared" si="24"/>
        <v>163435.28</v>
      </c>
      <c r="L63" s="52">
        <f t="shared" si="24"/>
        <v>126298.26</v>
      </c>
      <c r="M63" s="52">
        <f t="shared" si="24"/>
        <v>128036.74</v>
      </c>
      <c r="N63" s="52">
        <f t="shared" si="24"/>
        <v>190319.1</v>
      </c>
      <c r="O63" s="52">
        <f t="shared" si="24"/>
        <v>115976.52</v>
      </c>
      <c r="P63" s="52">
        <f t="shared" si="24"/>
        <v>95364.78</v>
      </c>
      <c r="Q63" s="52">
        <f t="shared" si="24"/>
        <v>110216.46</v>
      </c>
      <c r="R63" s="65">
        <f t="shared" si="24"/>
        <v>0</v>
      </c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E63" s="66"/>
      <c r="AF63" s="38"/>
    </row>
    <row r="64" spans="2:32" x14ac:dyDescent="0.2">
      <c r="B64" s="59" t="s">
        <v>118</v>
      </c>
      <c r="C64" s="59" t="s">
        <v>27</v>
      </c>
      <c r="D64" s="60" t="s">
        <v>107</v>
      </c>
      <c r="E64" s="61">
        <f>+'[1]BASE MENSUAL 2022 PRESUP.'!L69</f>
        <v>677464.46000000008</v>
      </c>
      <c r="F64" s="62">
        <v>71223.710000000006</v>
      </c>
      <c r="G64" s="62">
        <v>59395.7</v>
      </c>
      <c r="H64" s="62">
        <v>66289.53</v>
      </c>
      <c r="I64" s="62">
        <v>73852.34</v>
      </c>
      <c r="J64" s="62">
        <v>81628.77</v>
      </c>
      <c r="K64" s="62">
        <v>81717.64</v>
      </c>
      <c r="L64" s="62">
        <v>63149.13</v>
      </c>
      <c r="M64" s="62">
        <v>64018.37</v>
      </c>
      <c r="N64" s="62">
        <v>95159.55</v>
      </c>
      <c r="O64" s="62">
        <v>57988.26</v>
      </c>
      <c r="P64" s="62">
        <v>47682.39</v>
      </c>
      <c r="Q64" s="62">
        <v>55108.23</v>
      </c>
      <c r="AF64" s="38">
        <f>+E64</f>
        <v>677464.46000000008</v>
      </c>
    </row>
    <row r="65" spans="2:32" x14ac:dyDescent="0.2">
      <c r="B65" s="59" t="s">
        <v>119</v>
      </c>
      <c r="C65" s="59" t="s">
        <v>27</v>
      </c>
      <c r="D65" s="60" t="s">
        <v>120</v>
      </c>
      <c r="E65" s="61">
        <f>+'[1]BASE MENSUAL 2022 PRESUP.'!L70</f>
        <v>677464.46000000008</v>
      </c>
      <c r="F65" s="62">
        <f>+F64</f>
        <v>71223.710000000006</v>
      </c>
      <c r="G65" s="62">
        <f t="shared" ref="G65:Q65" si="25">+G64</f>
        <v>59395.7</v>
      </c>
      <c r="H65" s="62">
        <f t="shared" si="25"/>
        <v>66289.53</v>
      </c>
      <c r="I65" s="62">
        <f t="shared" si="25"/>
        <v>73852.34</v>
      </c>
      <c r="J65" s="62">
        <f t="shared" si="25"/>
        <v>81628.77</v>
      </c>
      <c r="K65" s="62">
        <f t="shared" si="25"/>
        <v>81717.64</v>
      </c>
      <c r="L65" s="62">
        <f t="shared" si="25"/>
        <v>63149.13</v>
      </c>
      <c r="M65" s="62">
        <f t="shared" si="25"/>
        <v>64018.37</v>
      </c>
      <c r="N65" s="62">
        <f t="shared" si="25"/>
        <v>95159.55</v>
      </c>
      <c r="O65" s="62">
        <f t="shared" si="25"/>
        <v>57988.26</v>
      </c>
      <c r="P65" s="62">
        <f t="shared" si="25"/>
        <v>47682.39</v>
      </c>
      <c r="Q65" s="62">
        <f t="shared" si="25"/>
        <v>55108.23</v>
      </c>
      <c r="AF65" s="38">
        <f>+E65</f>
        <v>677464.46000000008</v>
      </c>
    </row>
    <row r="66" spans="2:32" x14ac:dyDescent="0.2">
      <c r="B66" s="48" t="s">
        <v>121</v>
      </c>
      <c r="C66" s="48"/>
      <c r="D66" s="50" t="s">
        <v>122</v>
      </c>
      <c r="E66" s="51">
        <f>SUM(E67:E68)</f>
        <v>143042.47</v>
      </c>
      <c r="F66" s="52">
        <f>SUM(F67:F68)</f>
        <v>62270.06</v>
      </c>
      <c r="G66" s="52">
        <f t="shared" ref="G66:R66" si="26">SUM(G67:G68)</f>
        <v>10593.66</v>
      </c>
      <c r="H66" s="52">
        <f t="shared" si="26"/>
        <v>10748.259999999998</v>
      </c>
      <c r="I66" s="52">
        <f t="shared" si="26"/>
        <v>9217.08</v>
      </c>
      <c r="J66" s="52">
        <f t="shared" si="26"/>
        <v>8259.6200000000008</v>
      </c>
      <c r="K66" s="52">
        <f t="shared" si="26"/>
        <v>2830.1800000000003</v>
      </c>
      <c r="L66" s="52">
        <f t="shared" si="26"/>
        <v>2438.1600000000003</v>
      </c>
      <c r="M66" s="52">
        <f t="shared" si="26"/>
        <v>2438.1600000000003</v>
      </c>
      <c r="N66" s="52">
        <f t="shared" si="26"/>
        <v>4658.6000000000004</v>
      </c>
      <c r="O66" s="52">
        <f t="shared" si="26"/>
        <v>2276.71</v>
      </c>
      <c r="P66" s="52">
        <f t="shared" si="26"/>
        <v>3507.13</v>
      </c>
      <c r="Q66" s="52">
        <f t="shared" si="26"/>
        <v>3870.96</v>
      </c>
      <c r="R66" s="65">
        <f t="shared" si="26"/>
        <v>0</v>
      </c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E66" s="66"/>
      <c r="AF66" s="38"/>
    </row>
    <row r="67" spans="2:32" x14ac:dyDescent="0.2">
      <c r="B67" s="59" t="s">
        <v>123</v>
      </c>
      <c r="C67" s="59" t="s">
        <v>27</v>
      </c>
      <c r="D67" s="60" t="s">
        <v>107</v>
      </c>
      <c r="E67" s="61">
        <f>+'[1]BASE MENSUAL 2022 PRESUP.'!L72</f>
        <v>131636.29</v>
      </c>
      <c r="F67" s="62">
        <v>59814.36</v>
      </c>
      <c r="G67" s="62">
        <v>9669.64</v>
      </c>
      <c r="H67" s="62">
        <v>8543.7999999999993</v>
      </c>
      <c r="I67" s="62">
        <v>7496.48</v>
      </c>
      <c r="J67" s="62">
        <v>6495.89</v>
      </c>
      <c r="K67" s="62">
        <v>2608.7800000000002</v>
      </c>
      <c r="L67" s="62">
        <v>2265.88</v>
      </c>
      <c r="M67" s="62">
        <v>2265.88</v>
      </c>
      <c r="N67" s="62">
        <v>3376.1</v>
      </c>
      <c r="O67" s="62">
        <v>2175.9</v>
      </c>
      <c r="P67" s="62">
        <v>2983.38</v>
      </c>
      <c r="Q67" s="62">
        <v>3207.51</v>
      </c>
      <c r="AF67" s="38">
        <f>+E67</f>
        <v>131636.29</v>
      </c>
    </row>
    <row r="68" spans="2:32" x14ac:dyDescent="0.2">
      <c r="B68" s="59" t="s">
        <v>124</v>
      </c>
      <c r="C68" s="59" t="s">
        <v>27</v>
      </c>
      <c r="D68" s="60" t="s">
        <v>125</v>
      </c>
      <c r="E68" s="61">
        <f>+'[1]BASE MENSUAL 2022 PRESUP.'!L73</f>
        <v>11406.18</v>
      </c>
      <c r="F68" s="62">
        <v>2455.6999999999998</v>
      </c>
      <c r="G68" s="62">
        <v>924.02</v>
      </c>
      <c r="H68" s="62">
        <v>2204.46</v>
      </c>
      <c r="I68" s="62">
        <v>1720.6</v>
      </c>
      <c r="J68" s="62">
        <v>1763.73</v>
      </c>
      <c r="K68" s="62">
        <v>221.4</v>
      </c>
      <c r="L68" s="62">
        <v>172.28</v>
      </c>
      <c r="M68" s="62">
        <v>172.28</v>
      </c>
      <c r="N68" s="62">
        <v>1282.5</v>
      </c>
      <c r="O68" s="62">
        <v>100.81</v>
      </c>
      <c r="P68" s="62">
        <v>523.75</v>
      </c>
      <c r="Q68" s="62">
        <v>663.45</v>
      </c>
      <c r="AF68" s="38">
        <f>+E68</f>
        <v>11406.18</v>
      </c>
    </row>
    <row r="69" spans="2:32" s="53" customFormat="1" x14ac:dyDescent="0.2">
      <c r="B69" s="54" t="s">
        <v>126</v>
      </c>
      <c r="C69" s="54"/>
      <c r="D69" s="55" t="s">
        <v>127</v>
      </c>
      <c r="E69" s="56">
        <f t="shared" ref="E69:Q69" si="27">+E70+E128+E234</f>
        <v>7801162.2200000016</v>
      </c>
      <c r="F69" s="57">
        <f t="shared" si="27"/>
        <v>1004449.3887</v>
      </c>
      <c r="G69" s="57">
        <f t="shared" si="27"/>
        <v>594779.35950000014</v>
      </c>
      <c r="H69" s="57">
        <f t="shared" si="27"/>
        <v>627612.24479999999</v>
      </c>
      <c r="I69" s="57">
        <f t="shared" si="27"/>
        <v>662545.64480000001</v>
      </c>
      <c r="J69" s="57">
        <f t="shared" si="27"/>
        <v>780936.16320000018</v>
      </c>
      <c r="K69" s="57">
        <f t="shared" si="27"/>
        <v>630927.54680000001</v>
      </c>
      <c r="L69" s="57">
        <f t="shared" si="27"/>
        <v>496858.24586666666</v>
      </c>
      <c r="M69" s="57">
        <f t="shared" si="27"/>
        <v>503180.96586666658</v>
      </c>
      <c r="N69" s="57">
        <f t="shared" si="27"/>
        <v>842881.06836666656</v>
      </c>
      <c r="O69" s="57">
        <f t="shared" si="27"/>
        <v>463461.80009999999</v>
      </c>
      <c r="P69" s="57">
        <f t="shared" si="27"/>
        <v>485003.25539999991</v>
      </c>
      <c r="Q69" s="57">
        <f t="shared" si="27"/>
        <v>450004.41279999993</v>
      </c>
      <c r="S69" s="24"/>
      <c r="T69" s="24"/>
      <c r="U69" s="24"/>
      <c r="V69" s="24"/>
      <c r="W69" s="24"/>
      <c r="X69" s="24"/>
      <c r="Y69" s="24"/>
      <c r="Z69" s="24"/>
      <c r="AD69" s="8"/>
      <c r="AE69" s="58"/>
      <c r="AF69" s="67"/>
    </row>
    <row r="70" spans="2:32" x14ac:dyDescent="0.2">
      <c r="B70" s="48" t="s">
        <v>128</v>
      </c>
      <c r="C70" s="48"/>
      <c r="D70" s="50" t="s">
        <v>129</v>
      </c>
      <c r="E70" s="51">
        <f>+E71+E76+E88+E90+E92+E99+E121+E124+E119</f>
        <v>2697768.32</v>
      </c>
      <c r="F70" s="52">
        <f t="shared" ref="F70:Q70" si="28">+F71+F76+F88+F90+F92+F99+F121+F124</f>
        <v>372324.23870000005</v>
      </c>
      <c r="G70" s="52">
        <f t="shared" si="28"/>
        <v>88055.079500000007</v>
      </c>
      <c r="H70" s="52">
        <f t="shared" si="28"/>
        <v>79160.774799999999</v>
      </c>
      <c r="I70" s="52">
        <f t="shared" si="28"/>
        <v>95217.044800000003</v>
      </c>
      <c r="J70" s="52">
        <f t="shared" si="28"/>
        <v>203320.5632</v>
      </c>
      <c r="K70" s="52">
        <f t="shared" si="28"/>
        <v>60302.676800000001</v>
      </c>
      <c r="L70" s="52">
        <f t="shared" si="28"/>
        <v>73198.875866666669</v>
      </c>
      <c r="M70" s="52">
        <f t="shared" si="28"/>
        <v>63198.875866666669</v>
      </c>
      <c r="N70" s="52">
        <f t="shared" si="28"/>
        <v>67916.40836666667</v>
      </c>
      <c r="O70" s="52">
        <f t="shared" si="28"/>
        <v>38795.530100000004</v>
      </c>
      <c r="P70" s="52">
        <f t="shared" si="28"/>
        <v>71278.005399999995</v>
      </c>
      <c r="Q70" s="52">
        <f t="shared" si="28"/>
        <v>53029.342799999999</v>
      </c>
      <c r="AF70" s="38"/>
    </row>
    <row r="71" spans="2:32" x14ac:dyDescent="0.2">
      <c r="B71" s="48" t="s">
        <v>130</v>
      </c>
      <c r="C71" s="48"/>
      <c r="D71" s="50" t="s">
        <v>131</v>
      </c>
      <c r="E71" s="51">
        <f>+E72+E74</f>
        <v>370695.72000000003</v>
      </c>
      <c r="F71" s="52">
        <f t="shared" ref="F71:Q71" si="29">+F72+F74</f>
        <v>5000</v>
      </c>
      <c r="G71" s="52">
        <f t="shared" si="29"/>
        <v>5000</v>
      </c>
      <c r="H71" s="52">
        <f t="shared" si="29"/>
        <v>5000</v>
      </c>
      <c r="I71" s="52">
        <f t="shared" si="29"/>
        <v>20600</v>
      </c>
      <c r="J71" s="52">
        <f t="shared" si="29"/>
        <v>82399.989999999991</v>
      </c>
      <c r="K71" s="52">
        <f t="shared" si="29"/>
        <v>6269.55</v>
      </c>
      <c r="L71" s="52">
        <f t="shared" si="29"/>
        <v>43000</v>
      </c>
      <c r="M71" s="52">
        <f t="shared" si="29"/>
        <v>33000</v>
      </c>
      <c r="N71" s="52">
        <f t="shared" si="29"/>
        <v>23000</v>
      </c>
      <c r="O71" s="52">
        <f t="shared" si="29"/>
        <v>5000</v>
      </c>
      <c r="P71" s="52">
        <f t="shared" si="29"/>
        <v>5000</v>
      </c>
      <c r="Q71" s="52">
        <f t="shared" si="29"/>
        <v>5000</v>
      </c>
      <c r="AF71" s="38"/>
    </row>
    <row r="72" spans="2:32" x14ac:dyDescent="0.2">
      <c r="B72" s="48" t="s">
        <v>132</v>
      </c>
      <c r="C72" s="48"/>
      <c r="D72" s="50" t="s">
        <v>133</v>
      </c>
      <c r="E72" s="51">
        <f>+E73</f>
        <v>0</v>
      </c>
      <c r="F72" s="52">
        <f t="shared" ref="F72:Q72" si="30">+F73</f>
        <v>0</v>
      </c>
      <c r="G72" s="52">
        <f t="shared" si="30"/>
        <v>0</v>
      </c>
      <c r="H72" s="52">
        <f t="shared" si="30"/>
        <v>0</v>
      </c>
      <c r="I72" s="52">
        <f t="shared" si="30"/>
        <v>0</v>
      </c>
      <c r="J72" s="52">
        <f t="shared" si="30"/>
        <v>44782.61</v>
      </c>
      <c r="K72" s="52">
        <f t="shared" si="30"/>
        <v>0</v>
      </c>
      <c r="L72" s="52">
        <f t="shared" si="30"/>
        <v>0</v>
      </c>
      <c r="M72" s="52">
        <f t="shared" si="30"/>
        <v>0</v>
      </c>
      <c r="N72" s="52">
        <f t="shared" si="30"/>
        <v>0</v>
      </c>
      <c r="O72" s="52">
        <f t="shared" si="30"/>
        <v>0</v>
      </c>
      <c r="P72" s="52">
        <f t="shared" si="30"/>
        <v>0</v>
      </c>
      <c r="Q72" s="52">
        <f t="shared" si="30"/>
        <v>0</v>
      </c>
      <c r="AF72" s="38"/>
    </row>
    <row r="73" spans="2:32" x14ac:dyDescent="0.2">
      <c r="B73" s="59" t="s">
        <v>134</v>
      </c>
      <c r="C73" s="59" t="s">
        <v>135</v>
      </c>
      <c r="D73" s="60" t="s">
        <v>136</v>
      </c>
      <c r="E73" s="61">
        <f>+'[1]BASE MENSUAL 2022 PRESUP.'!L78</f>
        <v>0</v>
      </c>
      <c r="F73" s="62">
        <v>0</v>
      </c>
      <c r="G73" s="62">
        <v>0</v>
      </c>
      <c r="H73" s="62">
        <v>0</v>
      </c>
      <c r="I73" s="62">
        <v>0</v>
      </c>
      <c r="J73" s="62">
        <v>44782.61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AF73" s="38">
        <f>+E73</f>
        <v>0</v>
      </c>
    </row>
    <row r="74" spans="2:32" x14ac:dyDescent="0.2">
      <c r="B74" s="48" t="s">
        <v>137</v>
      </c>
      <c r="C74" s="48"/>
      <c r="D74" s="50" t="s">
        <v>138</v>
      </c>
      <c r="E74" s="51">
        <f>+E75</f>
        <v>370695.72000000003</v>
      </c>
      <c r="F74" s="52">
        <f t="shared" ref="F74:Q74" si="31">+F75</f>
        <v>5000</v>
      </c>
      <c r="G74" s="52">
        <f t="shared" si="31"/>
        <v>5000</v>
      </c>
      <c r="H74" s="52">
        <f t="shared" si="31"/>
        <v>5000</v>
      </c>
      <c r="I74" s="52">
        <f t="shared" si="31"/>
        <v>20600</v>
      </c>
      <c r="J74" s="52">
        <f t="shared" si="31"/>
        <v>37617.379999999997</v>
      </c>
      <c r="K74" s="52">
        <f t="shared" si="31"/>
        <v>6269.55</v>
      </c>
      <c r="L74" s="52">
        <f t="shared" si="31"/>
        <v>43000</v>
      </c>
      <c r="M74" s="52">
        <f t="shared" si="31"/>
        <v>33000</v>
      </c>
      <c r="N74" s="52">
        <f t="shared" si="31"/>
        <v>23000</v>
      </c>
      <c r="O74" s="52">
        <f t="shared" si="31"/>
        <v>5000</v>
      </c>
      <c r="P74" s="52">
        <f t="shared" si="31"/>
        <v>5000</v>
      </c>
      <c r="Q74" s="52">
        <f t="shared" si="31"/>
        <v>5000</v>
      </c>
      <c r="AF74" s="38"/>
    </row>
    <row r="75" spans="2:32" x14ac:dyDescent="0.2">
      <c r="B75" s="59" t="s">
        <v>139</v>
      </c>
      <c r="C75" s="59" t="s">
        <v>135</v>
      </c>
      <c r="D75" s="60" t="s">
        <v>140</v>
      </c>
      <c r="E75" s="61">
        <f>+'[1]BASE MENSUAL 2022 PRESUP.'!L80</f>
        <v>370695.72000000003</v>
      </c>
      <c r="F75" s="62">
        <v>5000</v>
      </c>
      <c r="G75" s="62">
        <v>5000</v>
      </c>
      <c r="H75" s="62">
        <v>5000</v>
      </c>
      <c r="I75" s="62">
        <v>20600</v>
      </c>
      <c r="J75" s="62">
        <v>37617.379999999997</v>
      </c>
      <c r="K75" s="62">
        <v>6269.55</v>
      </c>
      <c r="L75" s="62">
        <v>43000</v>
      </c>
      <c r="M75" s="62">
        <v>33000</v>
      </c>
      <c r="N75" s="62">
        <v>23000</v>
      </c>
      <c r="O75" s="62">
        <v>5000</v>
      </c>
      <c r="P75" s="62">
        <v>5000</v>
      </c>
      <c r="Q75" s="62">
        <v>5000</v>
      </c>
      <c r="AD75" s="38">
        <f>192608.68*1.03</f>
        <v>198386.94039999999</v>
      </c>
      <c r="AF75" s="38">
        <f>+E75</f>
        <v>370695.72000000003</v>
      </c>
    </row>
    <row r="76" spans="2:32" x14ac:dyDescent="0.2">
      <c r="B76" s="48" t="s">
        <v>141</v>
      </c>
      <c r="C76" s="48"/>
      <c r="D76" s="50" t="s">
        <v>142</v>
      </c>
      <c r="E76" s="51">
        <f>SUM(E77:E87)</f>
        <v>9104.93</v>
      </c>
      <c r="F76" s="52">
        <f t="shared" ref="F76:Q76" si="32">SUM(F77:F87)</f>
        <v>135.59</v>
      </c>
      <c r="G76" s="52">
        <f t="shared" si="32"/>
        <v>18135.739999999998</v>
      </c>
      <c r="H76" s="52">
        <f t="shared" si="32"/>
        <v>0</v>
      </c>
      <c r="I76" s="52">
        <f t="shared" si="32"/>
        <v>935.94</v>
      </c>
      <c r="J76" s="52">
        <f t="shared" si="32"/>
        <v>31208.37</v>
      </c>
      <c r="K76" s="52">
        <f t="shared" si="32"/>
        <v>11910.52</v>
      </c>
      <c r="L76" s="52">
        <f t="shared" si="32"/>
        <v>0</v>
      </c>
      <c r="M76" s="52">
        <f t="shared" si="32"/>
        <v>0</v>
      </c>
      <c r="N76" s="52">
        <f t="shared" si="32"/>
        <v>188.97</v>
      </c>
      <c r="O76" s="52">
        <f t="shared" si="32"/>
        <v>0</v>
      </c>
      <c r="P76" s="52">
        <f t="shared" si="32"/>
        <v>19005.489999999998</v>
      </c>
      <c r="Q76" s="52">
        <f t="shared" si="32"/>
        <v>4374.88</v>
      </c>
      <c r="AF76" s="38"/>
    </row>
    <row r="77" spans="2:32" x14ac:dyDescent="0.2">
      <c r="B77" s="59" t="s">
        <v>143</v>
      </c>
      <c r="C77" s="59" t="s">
        <v>135</v>
      </c>
      <c r="D77" s="60" t="s">
        <v>144</v>
      </c>
      <c r="E77" s="61">
        <f>+'[1]BASE MENSUAL 2022 PRESUP.'!L82</f>
        <v>963.13</v>
      </c>
      <c r="F77" s="62">
        <v>0</v>
      </c>
      <c r="G77" s="62">
        <v>0</v>
      </c>
      <c r="H77" s="62">
        <v>0</v>
      </c>
      <c r="I77" s="62">
        <v>0</v>
      </c>
      <c r="J77" s="62">
        <v>24594.61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AF77" s="38">
        <f t="shared" ref="AF77:AF87" si="33">+E77</f>
        <v>963.13</v>
      </c>
    </row>
    <row r="78" spans="2:32" x14ac:dyDescent="0.2">
      <c r="B78" s="59" t="s">
        <v>145</v>
      </c>
      <c r="C78" s="59" t="s">
        <v>135</v>
      </c>
      <c r="D78" s="60" t="s">
        <v>146</v>
      </c>
      <c r="E78" s="61">
        <f>+'[1]BASE MENSUAL 2022 PRESUP.'!L83</f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1343.48</v>
      </c>
      <c r="AF78" s="38">
        <f t="shared" si="33"/>
        <v>0</v>
      </c>
    </row>
    <row r="79" spans="2:32" x14ac:dyDescent="0.2">
      <c r="B79" s="59" t="s">
        <v>147</v>
      </c>
      <c r="C79" s="59" t="s">
        <v>135</v>
      </c>
      <c r="D79" s="60" t="s">
        <v>148</v>
      </c>
      <c r="E79" s="61">
        <f>+'[1]BASE MENSUAL 2022 PRESUP.'!L84</f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AF79" s="38">
        <f t="shared" si="33"/>
        <v>0</v>
      </c>
    </row>
    <row r="80" spans="2:32" x14ac:dyDescent="0.2">
      <c r="B80" s="59" t="s">
        <v>149</v>
      </c>
      <c r="C80" s="59" t="s">
        <v>135</v>
      </c>
      <c r="D80" s="60" t="s">
        <v>150</v>
      </c>
      <c r="E80" s="61">
        <f>+'[1]BASE MENSUAL 2022 PRESUP.'!L85</f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1031.81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AF80" s="38">
        <f t="shared" si="33"/>
        <v>0</v>
      </c>
    </row>
    <row r="81" spans="2:32" x14ac:dyDescent="0.2">
      <c r="B81" s="59" t="s">
        <v>151</v>
      </c>
      <c r="C81" s="59" t="s">
        <v>135</v>
      </c>
      <c r="D81" s="60" t="s">
        <v>152</v>
      </c>
      <c r="E81" s="61">
        <f>+'[1]BASE MENSUAL 2022 PRESUP.'!L86</f>
        <v>3381.3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AF81" s="38">
        <f t="shared" si="33"/>
        <v>3381.3</v>
      </c>
    </row>
    <row r="82" spans="2:32" x14ac:dyDescent="0.2">
      <c r="B82" s="59" t="s">
        <v>153</v>
      </c>
      <c r="C82" s="59" t="s">
        <v>135</v>
      </c>
      <c r="D82" s="60" t="s">
        <v>154</v>
      </c>
      <c r="E82" s="61">
        <f>+'[1]BASE MENSUAL 2022 PRESUP.'!L87</f>
        <v>3809.7000000000003</v>
      </c>
      <c r="F82" s="62">
        <v>0</v>
      </c>
      <c r="G82" s="62">
        <v>0</v>
      </c>
      <c r="H82" s="62">
        <v>0</v>
      </c>
      <c r="I82" s="62">
        <v>661.88</v>
      </c>
      <c r="J82" s="62">
        <v>6354.07</v>
      </c>
      <c r="K82" s="62">
        <v>10585.85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AF82" s="38">
        <f t="shared" si="33"/>
        <v>3809.7000000000003</v>
      </c>
    </row>
    <row r="83" spans="2:32" x14ac:dyDescent="0.2">
      <c r="B83" s="59" t="s">
        <v>155</v>
      </c>
      <c r="C83" s="59" t="s">
        <v>135</v>
      </c>
      <c r="D83" s="60" t="s">
        <v>156</v>
      </c>
      <c r="E83" s="61">
        <f>+'[1]BASE MENSUAL 2022 PRESUP.'!L88</f>
        <v>403.01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292.86</v>
      </c>
      <c r="L83" s="62">
        <v>0</v>
      </c>
      <c r="M83" s="62">
        <v>0</v>
      </c>
      <c r="N83" s="62">
        <v>188.97</v>
      </c>
      <c r="O83" s="62">
        <v>0</v>
      </c>
      <c r="P83" s="62">
        <v>0</v>
      </c>
      <c r="Q83" s="62">
        <v>0</v>
      </c>
      <c r="AF83" s="38">
        <f t="shared" si="33"/>
        <v>403.01</v>
      </c>
    </row>
    <row r="84" spans="2:32" x14ac:dyDescent="0.2">
      <c r="B84" s="59" t="s">
        <v>157</v>
      </c>
      <c r="C84" s="59" t="s">
        <v>135</v>
      </c>
      <c r="D84" s="60" t="s">
        <v>158</v>
      </c>
      <c r="E84" s="61">
        <f>+'[1]BASE MENSUAL 2022 PRESUP.'!L89</f>
        <v>0</v>
      </c>
      <c r="F84" s="62">
        <v>135.59</v>
      </c>
      <c r="G84" s="62">
        <v>187.53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AF84" s="38">
        <f t="shared" si="33"/>
        <v>0</v>
      </c>
    </row>
    <row r="85" spans="2:32" x14ac:dyDescent="0.2">
      <c r="B85" s="59" t="s">
        <v>159</v>
      </c>
      <c r="C85" s="59" t="s">
        <v>135</v>
      </c>
      <c r="D85" s="60" t="s">
        <v>160</v>
      </c>
      <c r="E85" s="61">
        <f>+'[1]BASE MENSUAL 2022 PRESUP.'!L90</f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353.51</v>
      </c>
      <c r="Q85" s="62">
        <v>0</v>
      </c>
      <c r="AF85" s="38">
        <f t="shared" si="33"/>
        <v>0</v>
      </c>
    </row>
    <row r="86" spans="2:32" x14ac:dyDescent="0.2">
      <c r="B86" s="59" t="s">
        <v>161</v>
      </c>
      <c r="C86" s="59" t="s">
        <v>135</v>
      </c>
      <c r="D86" s="60" t="s">
        <v>162</v>
      </c>
      <c r="E86" s="61">
        <f>+'[1]BASE MENSUAL 2022 PRESUP.'!L91</f>
        <v>414.78999999999996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AF86" s="38">
        <f t="shared" si="33"/>
        <v>414.78999999999996</v>
      </c>
    </row>
    <row r="87" spans="2:32" x14ac:dyDescent="0.2">
      <c r="B87" s="59" t="s">
        <v>163</v>
      </c>
      <c r="C87" s="59" t="s">
        <v>135</v>
      </c>
      <c r="D87" s="60" t="s">
        <v>164</v>
      </c>
      <c r="E87" s="61">
        <f>+'[1]BASE MENSUAL 2022 PRESUP.'!L92</f>
        <v>133</v>
      </c>
      <c r="F87" s="62">
        <v>0</v>
      </c>
      <c r="G87" s="62">
        <v>17948.21</v>
      </c>
      <c r="H87" s="62">
        <v>0</v>
      </c>
      <c r="I87" s="62">
        <v>274.06</v>
      </c>
      <c r="J87" s="62">
        <v>259.69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18651.98</v>
      </c>
      <c r="Q87" s="62">
        <v>3031.4</v>
      </c>
      <c r="AF87" s="38">
        <f t="shared" si="33"/>
        <v>133</v>
      </c>
    </row>
    <row r="88" spans="2:32" x14ac:dyDescent="0.2">
      <c r="B88" s="48" t="s">
        <v>165</v>
      </c>
      <c r="C88" s="48"/>
      <c r="D88" s="50" t="s">
        <v>166</v>
      </c>
      <c r="E88" s="51">
        <f>+E89</f>
        <v>0</v>
      </c>
      <c r="F88" s="52">
        <f t="shared" ref="F88:Q88" si="34">+F89</f>
        <v>0</v>
      </c>
      <c r="G88" s="52">
        <f t="shared" si="34"/>
        <v>0</v>
      </c>
      <c r="H88" s="52">
        <f t="shared" si="34"/>
        <v>0</v>
      </c>
      <c r="I88" s="52">
        <f t="shared" si="34"/>
        <v>0</v>
      </c>
      <c r="J88" s="52">
        <f t="shared" si="34"/>
        <v>0</v>
      </c>
      <c r="K88" s="52">
        <f t="shared" si="34"/>
        <v>0</v>
      </c>
      <c r="L88" s="52">
        <f t="shared" si="34"/>
        <v>0</v>
      </c>
      <c r="M88" s="52">
        <f t="shared" si="34"/>
        <v>0</v>
      </c>
      <c r="N88" s="52">
        <f t="shared" si="34"/>
        <v>0</v>
      </c>
      <c r="O88" s="52">
        <f t="shared" si="34"/>
        <v>0</v>
      </c>
      <c r="P88" s="52">
        <f t="shared" si="34"/>
        <v>0</v>
      </c>
      <c r="Q88" s="52">
        <f t="shared" si="34"/>
        <v>539.3904</v>
      </c>
      <c r="AF88" s="38"/>
    </row>
    <row r="89" spans="2:32" x14ac:dyDescent="0.2">
      <c r="B89" s="59" t="s">
        <v>167</v>
      </c>
      <c r="C89" s="59" t="s">
        <v>135</v>
      </c>
      <c r="D89" s="60" t="s">
        <v>168</v>
      </c>
      <c r="E89" s="61">
        <f>+'[1]BASE MENSUAL 2022 PRESUP.'!L94</f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f>523.68*1.03</f>
        <v>539.3904</v>
      </c>
      <c r="AF89" s="38">
        <f>+E89</f>
        <v>0</v>
      </c>
    </row>
    <row r="90" spans="2:32" x14ac:dyDescent="0.2">
      <c r="B90" s="48" t="s">
        <v>169</v>
      </c>
      <c r="C90" s="48"/>
      <c r="D90" s="50" t="s">
        <v>170</v>
      </c>
      <c r="E90" s="51">
        <f>+E91</f>
        <v>239.39</v>
      </c>
      <c r="F90" s="52">
        <f t="shared" ref="F90:Q90" si="35">+F91</f>
        <v>0</v>
      </c>
      <c r="G90" s="52">
        <f t="shared" si="35"/>
        <v>0</v>
      </c>
      <c r="H90" s="52">
        <f t="shared" si="35"/>
        <v>0</v>
      </c>
      <c r="I90" s="52">
        <f t="shared" si="35"/>
        <v>0</v>
      </c>
      <c r="J90" s="52">
        <f t="shared" si="35"/>
        <v>0</v>
      </c>
      <c r="K90" s="52">
        <f t="shared" si="35"/>
        <v>0</v>
      </c>
      <c r="L90" s="52">
        <f t="shared" si="35"/>
        <v>0</v>
      </c>
      <c r="M90" s="52">
        <f t="shared" si="35"/>
        <v>0</v>
      </c>
      <c r="N90" s="52">
        <f t="shared" si="35"/>
        <v>0</v>
      </c>
      <c r="O90" s="52">
        <f t="shared" si="35"/>
        <v>0</v>
      </c>
      <c r="P90" s="52">
        <f t="shared" si="35"/>
        <v>0</v>
      </c>
      <c r="Q90" s="52">
        <f t="shared" si="35"/>
        <v>1522.9374</v>
      </c>
      <c r="AF90" s="38"/>
    </row>
    <row r="91" spans="2:32" x14ac:dyDescent="0.2">
      <c r="B91" s="59" t="s">
        <v>171</v>
      </c>
      <c r="C91" s="59" t="s">
        <v>135</v>
      </c>
      <c r="D91" s="60" t="s">
        <v>172</v>
      </c>
      <c r="E91" s="61">
        <f>+'[1]BASE MENSUAL 2022 PRESUP.'!L96</f>
        <v>239.39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f>1478.58*1.03</f>
        <v>1522.9374</v>
      </c>
      <c r="AF91" s="38">
        <f>+E91</f>
        <v>239.39</v>
      </c>
    </row>
    <row r="92" spans="2:32" x14ac:dyDescent="0.2">
      <c r="B92" s="48" t="s">
        <v>173</v>
      </c>
      <c r="C92" s="48"/>
      <c r="D92" s="50" t="s">
        <v>174</v>
      </c>
      <c r="E92" s="51">
        <f>+E93+E94+E97</f>
        <v>96591.200000000012</v>
      </c>
      <c r="F92" s="52">
        <f t="shared" ref="F92:Q92" si="36">+F93+F94+F97</f>
        <v>24522.219599999997</v>
      </c>
      <c r="G92" s="52">
        <f t="shared" si="36"/>
        <v>6803.4935000000014</v>
      </c>
      <c r="H92" s="52">
        <f t="shared" si="36"/>
        <v>11165.5897</v>
      </c>
      <c r="I92" s="52">
        <f t="shared" si="36"/>
        <v>8250.3515000000007</v>
      </c>
      <c r="J92" s="52">
        <f t="shared" si="36"/>
        <v>16133.209300000002</v>
      </c>
      <c r="K92" s="52">
        <f t="shared" si="36"/>
        <v>8680.7164000000012</v>
      </c>
      <c r="L92" s="52">
        <f t="shared" si="36"/>
        <v>8356.1566666666677</v>
      </c>
      <c r="M92" s="52">
        <f t="shared" si="36"/>
        <v>8356.1566666666677</v>
      </c>
      <c r="N92" s="52">
        <f t="shared" si="36"/>
        <v>12601.590066666668</v>
      </c>
      <c r="O92" s="52">
        <f t="shared" si="36"/>
        <v>1856.2145</v>
      </c>
      <c r="P92" s="52">
        <f t="shared" si="36"/>
        <v>21640.918000000001</v>
      </c>
      <c r="Q92" s="52">
        <f t="shared" si="36"/>
        <v>2120.3580000000002</v>
      </c>
      <c r="AF92" s="38"/>
    </row>
    <row r="93" spans="2:32" x14ac:dyDescent="0.2">
      <c r="B93" s="48" t="s">
        <v>175</v>
      </c>
      <c r="C93" s="59" t="s">
        <v>176</v>
      </c>
      <c r="D93" s="60" t="s">
        <v>177</v>
      </c>
      <c r="E93" s="61">
        <f>+'[1]BASE MENSUAL 2022 PRESUP.'!L98</f>
        <v>5127.7699999999995</v>
      </c>
      <c r="F93" s="62">
        <f>156.51*1.03</f>
        <v>161.20529999999999</v>
      </c>
      <c r="G93" s="62">
        <f>260.85*1.03</f>
        <v>268.67550000000006</v>
      </c>
      <c r="H93" s="62">
        <f>260.85*1.03</f>
        <v>268.67550000000006</v>
      </c>
      <c r="I93" s="62">
        <f>260.85*1.03</f>
        <v>268.67550000000006</v>
      </c>
      <c r="J93" s="62">
        <f>417.36*1.03</f>
        <v>429.88080000000002</v>
      </c>
      <c r="K93" s="62">
        <f>208.68*1.03</f>
        <v>214.94040000000001</v>
      </c>
      <c r="L93" s="62">
        <v>0</v>
      </c>
      <c r="M93" s="62">
        <v>0</v>
      </c>
      <c r="N93" s="62">
        <f>469.53*1.03</f>
        <v>483.61590000000001</v>
      </c>
      <c r="O93" s="62">
        <f>51.15*1.03</f>
        <v>52.6845</v>
      </c>
      <c r="P93" s="62">
        <f>204.6*1.03</f>
        <v>210.738</v>
      </c>
      <c r="Q93" s="62">
        <f>204.6*1.03</f>
        <v>210.738</v>
      </c>
      <c r="R93" s="24" t="s">
        <v>178</v>
      </c>
      <c r="AE93" s="47"/>
      <c r="AF93" s="38">
        <f>+E93</f>
        <v>5127.7699999999995</v>
      </c>
    </row>
    <row r="94" spans="2:32" x14ac:dyDescent="0.2">
      <c r="B94" s="48" t="s">
        <v>179</v>
      </c>
      <c r="C94" s="48"/>
      <c r="D94" s="50" t="s">
        <v>180</v>
      </c>
      <c r="E94" s="51">
        <f>SUM(E95:E96)</f>
        <v>91410.390000000014</v>
      </c>
      <c r="F94" s="52">
        <f t="shared" ref="F94:Q94" si="37">SUM(F95:F96)</f>
        <v>24361.014299999995</v>
      </c>
      <c r="G94" s="52">
        <f t="shared" si="37"/>
        <v>6534.8180000000011</v>
      </c>
      <c r="H94" s="52">
        <f t="shared" si="37"/>
        <v>2805.2445000000002</v>
      </c>
      <c r="I94" s="52">
        <f t="shared" si="37"/>
        <v>3439.3759999999997</v>
      </c>
      <c r="J94" s="52">
        <f t="shared" si="37"/>
        <v>3976.7784999999999</v>
      </c>
      <c r="K94" s="52">
        <f t="shared" si="37"/>
        <v>3439.3759999999997</v>
      </c>
      <c r="L94" s="52">
        <f t="shared" si="37"/>
        <v>0</v>
      </c>
      <c r="M94" s="52">
        <f t="shared" si="37"/>
        <v>0</v>
      </c>
      <c r="N94" s="52">
        <f t="shared" si="37"/>
        <v>3761.8175000000001</v>
      </c>
      <c r="O94" s="52">
        <f t="shared" si="37"/>
        <v>1803.53</v>
      </c>
      <c r="P94" s="52">
        <f t="shared" si="37"/>
        <v>21430.18</v>
      </c>
      <c r="Q94" s="52">
        <f t="shared" si="37"/>
        <v>1909.6200000000001</v>
      </c>
      <c r="R94" s="65">
        <f t="shared" ref="R94" si="38">+R95</f>
        <v>0</v>
      </c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E94" s="66"/>
      <c r="AF94" s="38"/>
    </row>
    <row r="95" spans="2:32" x14ac:dyDescent="0.2">
      <c r="B95" s="59" t="s">
        <v>181</v>
      </c>
      <c r="C95" s="59" t="s">
        <v>176</v>
      </c>
      <c r="D95" s="60" t="s">
        <v>182</v>
      </c>
      <c r="E95" s="61">
        <f>+'[1]BASE MENSUAL 2022 PRESUP.'!L103</f>
        <v>89810.390000000014</v>
      </c>
      <c r="F95" s="62">
        <f>33787.81*1.03</f>
        <v>34801.444299999996</v>
      </c>
      <c r="G95" s="62">
        <f>7930.6*1.03</f>
        <v>8168.5180000000009</v>
      </c>
      <c r="H95" s="62">
        <f>3026.15*1.03</f>
        <v>3116.9345000000003</v>
      </c>
      <c r="I95" s="62">
        <f>3339.2*1.03</f>
        <v>3439.3759999999997</v>
      </c>
      <c r="J95" s="62">
        <f>3860.95*1.03</f>
        <v>3976.7784999999999</v>
      </c>
      <c r="K95" s="62">
        <f>3339.2*1.03</f>
        <v>3439.3759999999997</v>
      </c>
      <c r="L95" s="62">
        <v>0</v>
      </c>
      <c r="M95" s="62">
        <v>0</v>
      </c>
      <c r="N95" s="62">
        <f>3652.25*1.03</f>
        <v>3761.8175000000001</v>
      </c>
      <c r="O95" s="62">
        <f>1751*1.03</f>
        <v>1803.53</v>
      </c>
      <c r="P95" s="62">
        <f>20806*1.03</f>
        <v>21430.18</v>
      </c>
      <c r="Q95" s="62">
        <f>1854*1.03</f>
        <v>1909.6200000000001</v>
      </c>
      <c r="AF95" s="38">
        <f>+E95</f>
        <v>89810.390000000014</v>
      </c>
    </row>
    <row r="96" spans="2:32" x14ac:dyDescent="0.2">
      <c r="B96" s="59" t="s">
        <v>183</v>
      </c>
      <c r="C96" s="59" t="s">
        <v>176</v>
      </c>
      <c r="D96" s="60" t="s">
        <v>184</v>
      </c>
      <c r="E96" s="61">
        <f>+'[1]BASE MENSUAL 2022 PRESUP.'!L104</f>
        <v>1600</v>
      </c>
      <c r="F96" s="62">
        <v>-10440.43</v>
      </c>
      <c r="G96" s="62">
        <v>-1633.7</v>
      </c>
      <c r="H96" s="62">
        <v>-311.69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AF96" s="38">
        <f>+E96</f>
        <v>1600</v>
      </c>
    </row>
    <row r="97" spans="2:32" x14ac:dyDescent="0.2">
      <c r="B97" s="48" t="s">
        <v>185</v>
      </c>
      <c r="C97" s="48"/>
      <c r="D97" s="50" t="s">
        <v>186</v>
      </c>
      <c r="E97" s="51">
        <f>+E98</f>
        <v>53.04</v>
      </c>
      <c r="F97" s="52">
        <f t="shared" ref="F97:Q97" si="39">+F98</f>
        <v>0</v>
      </c>
      <c r="G97" s="52">
        <f t="shared" si="39"/>
        <v>0</v>
      </c>
      <c r="H97" s="52">
        <f t="shared" si="39"/>
        <v>8091.6697000000004</v>
      </c>
      <c r="I97" s="52">
        <f t="shared" si="39"/>
        <v>4542.3</v>
      </c>
      <c r="J97" s="52">
        <f t="shared" si="39"/>
        <v>11726.550000000001</v>
      </c>
      <c r="K97" s="52">
        <f t="shared" si="39"/>
        <v>5026.4000000000005</v>
      </c>
      <c r="L97" s="52">
        <f t="shared" si="39"/>
        <v>8356.1566666666677</v>
      </c>
      <c r="M97" s="52">
        <f t="shared" si="39"/>
        <v>8356.1566666666677</v>
      </c>
      <c r="N97" s="52">
        <f t="shared" si="39"/>
        <v>8356.1566666666677</v>
      </c>
      <c r="O97" s="52">
        <f t="shared" si="39"/>
        <v>0</v>
      </c>
      <c r="P97" s="52">
        <f t="shared" si="39"/>
        <v>0</v>
      </c>
      <c r="Q97" s="52">
        <f t="shared" si="39"/>
        <v>0</v>
      </c>
      <c r="AF97" s="38"/>
    </row>
    <row r="98" spans="2:32" x14ac:dyDescent="0.2">
      <c r="B98" s="59" t="s">
        <v>187</v>
      </c>
      <c r="C98" s="59" t="s">
        <v>176</v>
      </c>
      <c r="D98" s="60" t="s">
        <v>188</v>
      </c>
      <c r="E98" s="61">
        <f>+'[1]BASE MENSUAL 2022 PRESUP.'!L106</f>
        <v>53.04</v>
      </c>
      <c r="F98" s="62">
        <v>0</v>
      </c>
      <c r="G98" s="62">
        <v>0</v>
      </c>
      <c r="H98" s="62">
        <f>7855.99*1.03</f>
        <v>8091.6697000000004</v>
      </c>
      <c r="I98" s="62">
        <f>4410*1.03</f>
        <v>4542.3</v>
      </c>
      <c r="J98" s="62">
        <f>11385*1.03</f>
        <v>11726.550000000001</v>
      </c>
      <c r="K98" s="62">
        <f>4880*1.03</f>
        <v>5026.4000000000005</v>
      </c>
      <c r="L98" s="62">
        <f t="shared" ref="L98:M98" si="40">25068.47/3</f>
        <v>8356.1566666666677</v>
      </c>
      <c r="M98" s="62">
        <f t="shared" si="40"/>
        <v>8356.1566666666677</v>
      </c>
      <c r="N98" s="62">
        <f>25068.47/3</f>
        <v>8356.1566666666677</v>
      </c>
      <c r="O98" s="62">
        <v>0</v>
      </c>
      <c r="P98" s="62">
        <v>0</v>
      </c>
      <c r="Q98" s="62">
        <v>0</v>
      </c>
      <c r="AF98" s="38">
        <f>+E98</f>
        <v>53.04</v>
      </c>
    </row>
    <row r="99" spans="2:32" x14ac:dyDescent="0.2">
      <c r="B99" s="48" t="s">
        <v>189</v>
      </c>
      <c r="C99" s="48"/>
      <c r="D99" s="50" t="s">
        <v>190</v>
      </c>
      <c r="E99" s="51">
        <f>SUM(E100:E118)</f>
        <v>877575.2899999998</v>
      </c>
      <c r="F99" s="52">
        <f t="shared" ref="F99:Q99" si="41">SUM(F100:F114)</f>
        <v>328474.75950000004</v>
      </c>
      <c r="G99" s="52">
        <f t="shared" si="41"/>
        <v>53391.286000000007</v>
      </c>
      <c r="H99" s="52">
        <f t="shared" si="41"/>
        <v>51537.549500000008</v>
      </c>
      <c r="I99" s="52">
        <f t="shared" si="41"/>
        <v>49976.552800000005</v>
      </c>
      <c r="J99" s="52">
        <f t="shared" si="41"/>
        <v>43305.956000000006</v>
      </c>
      <c r="K99" s="52">
        <f t="shared" si="41"/>
        <v>17391.855600000003</v>
      </c>
      <c r="L99" s="52">
        <f t="shared" si="41"/>
        <v>15105.859199999999</v>
      </c>
      <c r="M99" s="52">
        <f t="shared" si="41"/>
        <v>15105.859199999999</v>
      </c>
      <c r="N99" s="52">
        <f t="shared" si="41"/>
        <v>22507.349199999997</v>
      </c>
      <c r="O99" s="52">
        <f t="shared" si="41"/>
        <v>14505.005600000002</v>
      </c>
      <c r="P99" s="52">
        <f t="shared" si="41"/>
        <v>19890.2274</v>
      </c>
      <c r="Q99" s="52">
        <f t="shared" si="41"/>
        <v>21383.397000000001</v>
      </c>
      <c r="AF99" s="38"/>
    </row>
    <row r="100" spans="2:32" x14ac:dyDescent="0.2">
      <c r="B100" s="59" t="s">
        <v>191</v>
      </c>
      <c r="C100" s="59" t="s">
        <v>192</v>
      </c>
      <c r="D100" s="60" t="s">
        <v>193</v>
      </c>
      <c r="E100" s="61">
        <f>+'[1]BASE MENSUAL 2022 PRESUP.'!L108</f>
        <v>318829.42999999988</v>
      </c>
      <c r="F100" s="62">
        <f>223135.39*1.05</f>
        <v>234292.15950000004</v>
      </c>
      <c r="G100" s="62">
        <f>35152.32*1.05</f>
        <v>36909.936000000002</v>
      </c>
      <c r="H100" s="62">
        <f>17209.99*1.05</f>
        <v>18070.489500000003</v>
      </c>
      <c r="I100" s="62">
        <f>8997.32*1.04</f>
        <v>9357.2127999999993</v>
      </c>
      <c r="J100" s="62">
        <f>10854.9*1.04</f>
        <v>11289.096</v>
      </c>
      <c r="K100" s="62">
        <f>7532.64*1.04</f>
        <v>7833.9456000000009</v>
      </c>
      <c r="L100" s="62">
        <f>16948.44*1.04/3</f>
        <v>5875.4592000000002</v>
      </c>
      <c r="M100" s="62">
        <f t="shared" ref="M100:N100" si="42">16948.44*1.04/3</f>
        <v>5875.4592000000002</v>
      </c>
      <c r="N100" s="62">
        <f t="shared" si="42"/>
        <v>5875.4592000000002</v>
      </c>
      <c r="O100" s="62">
        <f>7532.64*1.04</f>
        <v>7833.9456000000009</v>
      </c>
      <c r="P100" s="62">
        <f>11065.58*1.03</f>
        <v>11397.547399999999</v>
      </c>
      <c r="Q100" s="62">
        <f>12582.9*1.03</f>
        <v>12960.387000000001</v>
      </c>
      <c r="AF100" s="38">
        <f t="shared" ref="AF100:AF119" si="43">+E100</f>
        <v>318829.42999999988</v>
      </c>
    </row>
    <row r="101" spans="2:32" x14ac:dyDescent="0.2">
      <c r="B101" s="59" t="s">
        <v>194</v>
      </c>
      <c r="C101" s="59" t="s">
        <v>192</v>
      </c>
      <c r="D101" s="60" t="s">
        <v>195</v>
      </c>
      <c r="E101" s="61">
        <f>+'[1]BASE MENSUAL 2022 PRESUP.'!L109</f>
        <v>9791.2800000000007</v>
      </c>
      <c r="F101" s="62">
        <v>-70287.649999999994</v>
      </c>
      <c r="G101" s="62">
        <v>-11072.98</v>
      </c>
      <c r="H101" s="62">
        <v>-5421.15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AF101" s="38">
        <f t="shared" si="43"/>
        <v>9791.2800000000007</v>
      </c>
    </row>
    <row r="102" spans="2:32" x14ac:dyDescent="0.2">
      <c r="B102" s="59" t="s">
        <v>196</v>
      </c>
      <c r="C102" s="59" t="s">
        <v>100</v>
      </c>
      <c r="D102" s="60" t="s">
        <v>197</v>
      </c>
      <c r="E102" s="61">
        <f>+'[1]BASE MENSUAL 2022 PRESUP.'!L110</f>
        <v>9218.7999999999993</v>
      </c>
      <c r="F102" s="62">
        <v>12336.96</v>
      </c>
      <c r="G102" s="62">
        <v>0</v>
      </c>
      <c r="H102" s="62">
        <v>231.82</v>
      </c>
      <c r="I102" s="62">
        <v>0</v>
      </c>
      <c r="J102" s="62">
        <v>917.95</v>
      </c>
      <c r="K102" s="62">
        <v>444.96</v>
      </c>
      <c r="L102" s="62">
        <v>231.82</v>
      </c>
      <c r="M102" s="62">
        <v>231.82</v>
      </c>
      <c r="N102" s="62">
        <v>231.82</v>
      </c>
      <c r="O102" s="62">
        <v>174.83</v>
      </c>
      <c r="P102" s="62">
        <v>227.28</v>
      </c>
      <c r="Q102" s="62">
        <v>681.84</v>
      </c>
      <c r="AF102" s="38">
        <f t="shared" si="43"/>
        <v>9218.7999999999993</v>
      </c>
    </row>
    <row r="103" spans="2:32" x14ac:dyDescent="0.2">
      <c r="B103" s="59" t="s">
        <v>198</v>
      </c>
      <c r="C103" s="59" t="s">
        <v>100</v>
      </c>
      <c r="D103" s="60" t="s">
        <v>199</v>
      </c>
      <c r="E103" s="61">
        <f>+'[1]BASE MENSUAL 2022 PRESUP.'!L111</f>
        <v>225.07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218.51</v>
      </c>
      <c r="O103" s="62">
        <v>0</v>
      </c>
      <c r="P103" s="62">
        <v>0</v>
      </c>
      <c r="Q103" s="62">
        <v>0</v>
      </c>
      <c r="AF103" s="38">
        <f t="shared" si="43"/>
        <v>225.07</v>
      </c>
    </row>
    <row r="104" spans="2:32" x14ac:dyDescent="0.2">
      <c r="B104" s="59" t="s">
        <v>200</v>
      </c>
      <c r="C104" s="59" t="s">
        <v>100</v>
      </c>
      <c r="D104" s="60" t="s">
        <v>201</v>
      </c>
      <c r="E104" s="61">
        <f>+'[1]BASE MENSUAL 2022 PRESUP.'!L112</f>
        <v>20088</v>
      </c>
      <c r="F104" s="62">
        <v>0</v>
      </c>
      <c r="G104" s="62">
        <v>222.48</v>
      </c>
      <c r="H104" s="62">
        <v>222.48</v>
      </c>
      <c r="I104" s="62">
        <v>1112.4000000000001</v>
      </c>
      <c r="J104" s="62">
        <v>2446.64</v>
      </c>
      <c r="K104" s="62">
        <v>278.10000000000002</v>
      </c>
      <c r="L104" s="62">
        <v>593.28</v>
      </c>
      <c r="M104" s="62">
        <v>593.28</v>
      </c>
      <c r="N104" s="62">
        <v>593.28</v>
      </c>
      <c r="O104" s="62">
        <v>0</v>
      </c>
      <c r="P104" s="62">
        <v>0</v>
      </c>
      <c r="Q104" s="62">
        <v>0</v>
      </c>
      <c r="AF104" s="38">
        <f t="shared" si="43"/>
        <v>20088</v>
      </c>
    </row>
    <row r="105" spans="2:32" x14ac:dyDescent="0.2">
      <c r="B105" s="59" t="s">
        <v>202</v>
      </c>
      <c r="C105" s="59" t="s">
        <v>100</v>
      </c>
      <c r="D105" s="60" t="s">
        <v>203</v>
      </c>
      <c r="E105" s="61">
        <f>+'[1]BASE MENSUAL 2022 PRESUP.'!L113</f>
        <v>2430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278.10000000000002</v>
      </c>
      <c r="O105" s="62">
        <v>0</v>
      </c>
      <c r="P105" s="62">
        <v>0</v>
      </c>
      <c r="Q105" s="62">
        <v>0</v>
      </c>
      <c r="AF105" s="38">
        <f t="shared" si="43"/>
        <v>2430</v>
      </c>
    </row>
    <row r="106" spans="2:32" x14ac:dyDescent="0.2">
      <c r="B106" s="59" t="s">
        <v>204</v>
      </c>
      <c r="C106" s="59" t="s">
        <v>100</v>
      </c>
      <c r="D106" s="60" t="s">
        <v>205</v>
      </c>
      <c r="E106" s="61">
        <f>+'[1]BASE MENSUAL 2022 PRESUP.'!L114</f>
        <v>3453.89</v>
      </c>
      <c r="F106" s="62">
        <v>1669.84</v>
      </c>
      <c r="G106" s="62">
        <v>323.39999999999998</v>
      </c>
      <c r="H106" s="62">
        <v>431.2</v>
      </c>
      <c r="I106" s="62">
        <v>161.69999999999999</v>
      </c>
      <c r="J106" s="62">
        <v>485.1</v>
      </c>
      <c r="K106" s="62">
        <v>215.6</v>
      </c>
      <c r="L106" s="62">
        <v>323.39999999999998</v>
      </c>
      <c r="M106" s="62">
        <v>323.39999999999998</v>
      </c>
      <c r="N106" s="62">
        <v>323.39999999999998</v>
      </c>
      <c r="O106" s="62">
        <v>52.84</v>
      </c>
      <c r="P106" s="62">
        <v>475.55</v>
      </c>
      <c r="Q106" s="62">
        <v>158.52000000000001</v>
      </c>
      <c r="AF106" s="38">
        <f t="shared" si="43"/>
        <v>3453.89</v>
      </c>
    </row>
    <row r="107" spans="2:32" x14ac:dyDescent="0.2">
      <c r="B107" s="59" t="s">
        <v>206</v>
      </c>
      <c r="C107" s="59" t="s">
        <v>100</v>
      </c>
      <c r="D107" s="60" t="s">
        <v>207</v>
      </c>
      <c r="E107" s="61">
        <f>+'[1]BASE MENSUAL 2022 PRESUP.'!L115</f>
        <v>19116.420000000002</v>
      </c>
      <c r="F107" s="62">
        <v>0</v>
      </c>
      <c r="G107" s="62">
        <v>5399.29</v>
      </c>
      <c r="H107" s="62">
        <v>13488.43</v>
      </c>
      <c r="I107" s="62">
        <v>9809.61</v>
      </c>
      <c r="J107" s="62">
        <v>5803.7</v>
      </c>
      <c r="K107" s="62">
        <v>537.35</v>
      </c>
      <c r="L107" s="62">
        <v>0</v>
      </c>
      <c r="M107" s="62">
        <v>0</v>
      </c>
      <c r="N107" s="62">
        <v>4516.08</v>
      </c>
      <c r="O107" s="62">
        <v>0</v>
      </c>
      <c r="P107" s="62">
        <v>2283.0500000000002</v>
      </c>
      <c r="Q107" s="62">
        <v>2423.54</v>
      </c>
      <c r="AF107" s="38">
        <f t="shared" si="43"/>
        <v>19116.420000000002</v>
      </c>
    </row>
    <row r="108" spans="2:32" x14ac:dyDescent="0.2">
      <c r="B108" s="59" t="s">
        <v>208</v>
      </c>
      <c r="C108" s="59" t="s">
        <v>100</v>
      </c>
      <c r="D108" s="60" t="s">
        <v>209</v>
      </c>
      <c r="E108" s="61">
        <f>+'[1]BASE MENSUAL 2022 PRESUP.'!L116</f>
        <v>1172</v>
      </c>
      <c r="F108" s="62">
        <v>0</v>
      </c>
      <c r="G108" s="62">
        <v>0</v>
      </c>
      <c r="H108" s="62">
        <v>0</v>
      </c>
      <c r="I108" s="62">
        <v>0</v>
      </c>
      <c r="J108" s="62">
        <v>905.37</v>
      </c>
      <c r="K108" s="62">
        <v>0</v>
      </c>
      <c r="L108" s="62">
        <v>0</v>
      </c>
      <c r="M108" s="62">
        <v>0</v>
      </c>
      <c r="N108" s="62">
        <v>1207.1600000000001</v>
      </c>
      <c r="O108" s="62">
        <v>0</v>
      </c>
      <c r="P108" s="62">
        <v>0</v>
      </c>
      <c r="Q108" s="62">
        <v>0</v>
      </c>
      <c r="AF108" s="38">
        <f t="shared" si="43"/>
        <v>1172</v>
      </c>
    </row>
    <row r="109" spans="2:32" x14ac:dyDescent="0.2">
      <c r="B109" s="59" t="s">
        <v>210</v>
      </c>
      <c r="C109" s="59" t="s">
        <v>100</v>
      </c>
      <c r="D109" s="60" t="s">
        <v>211</v>
      </c>
      <c r="E109" s="61">
        <f>+'[1]BASE MENSUAL 2022 PRESUP.'!L117</f>
        <v>0</v>
      </c>
      <c r="F109" s="62">
        <v>0</v>
      </c>
      <c r="G109" s="62">
        <v>0</v>
      </c>
      <c r="H109" s="62">
        <v>322.47000000000003</v>
      </c>
      <c r="I109" s="62">
        <v>386.93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282.27999999999997</v>
      </c>
      <c r="P109" s="62">
        <v>421.5</v>
      </c>
      <c r="Q109" s="62">
        <v>0</v>
      </c>
      <c r="AF109" s="38">
        <f t="shared" si="43"/>
        <v>0</v>
      </c>
    </row>
    <row r="110" spans="2:32" x14ac:dyDescent="0.2">
      <c r="B110" s="59" t="s">
        <v>212</v>
      </c>
      <c r="C110" s="59" t="s">
        <v>100</v>
      </c>
      <c r="D110" s="60" t="s">
        <v>213</v>
      </c>
      <c r="E110" s="61">
        <f>+'[1]BASE MENSUAL 2022 PRESUP.'!L118</f>
        <v>52.17</v>
      </c>
      <c r="F110" s="62">
        <v>0</v>
      </c>
      <c r="G110" s="62">
        <v>0</v>
      </c>
      <c r="H110" s="62">
        <v>0</v>
      </c>
      <c r="I110" s="62">
        <v>0</v>
      </c>
      <c r="J110" s="62">
        <v>53.74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AF110" s="38">
        <f t="shared" si="43"/>
        <v>52.17</v>
      </c>
    </row>
    <row r="111" spans="2:32" x14ac:dyDescent="0.2">
      <c r="B111" s="59" t="s">
        <v>214</v>
      </c>
      <c r="C111" s="59" t="s">
        <v>100</v>
      </c>
      <c r="D111" s="60" t="s">
        <v>215</v>
      </c>
      <c r="E111" s="61">
        <f>+'[1]BASE MENSUAL 2022 PRESUP.'!L119</f>
        <v>8555.3399999999983</v>
      </c>
      <c r="F111" s="62">
        <v>2364.56</v>
      </c>
      <c r="G111" s="62">
        <v>214.96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1181.6400000000001</v>
      </c>
      <c r="O111" s="62">
        <v>161.11000000000001</v>
      </c>
      <c r="P111" s="62">
        <v>85.3</v>
      </c>
      <c r="Q111" s="62">
        <v>0</v>
      </c>
      <c r="AF111" s="38">
        <f t="shared" si="43"/>
        <v>8555.3399999999983</v>
      </c>
    </row>
    <row r="112" spans="2:32" x14ac:dyDescent="0.2">
      <c r="B112" s="59" t="s">
        <v>216</v>
      </c>
      <c r="C112" s="59" t="s">
        <v>100</v>
      </c>
      <c r="D112" s="60" t="s">
        <v>217</v>
      </c>
      <c r="E112" s="61">
        <f>+'[1]BASE MENSUAL 2022 PRESUP.'!L120</f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1145.74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AF112" s="38">
        <f t="shared" si="43"/>
        <v>0</v>
      </c>
    </row>
    <row r="113" spans="2:32" x14ac:dyDescent="0.2">
      <c r="B113" s="59" t="s">
        <v>218</v>
      </c>
      <c r="C113" s="59" t="s">
        <v>100</v>
      </c>
      <c r="D113" s="60" t="s">
        <v>219</v>
      </c>
      <c r="E113" s="61">
        <f>+'[1]BASE MENSUAL 2022 PRESUP.'!L121</f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1159.1099999999999</v>
      </c>
      <c r="AF113" s="38">
        <f t="shared" si="43"/>
        <v>0</v>
      </c>
    </row>
    <row r="114" spans="2:32" x14ac:dyDescent="0.2">
      <c r="B114" s="59" t="s">
        <v>220</v>
      </c>
      <c r="C114" s="59" t="s">
        <v>100</v>
      </c>
      <c r="D114" s="60" t="s">
        <v>101</v>
      </c>
      <c r="E114" s="61">
        <f>+'[1]BASE MENSUAL 2022 PRESUP.'!L122</f>
        <v>350883.45</v>
      </c>
      <c r="F114" s="62">
        <v>148098.89000000001</v>
      </c>
      <c r="G114" s="62">
        <v>21394.2</v>
      </c>
      <c r="H114" s="62">
        <v>24191.81</v>
      </c>
      <c r="I114" s="62">
        <v>29148.7</v>
      </c>
      <c r="J114" s="62">
        <v>20258.62</v>
      </c>
      <c r="K114" s="62">
        <v>8081.9</v>
      </c>
      <c r="L114" s="62">
        <v>8081.9</v>
      </c>
      <c r="M114" s="62">
        <v>8081.9</v>
      </c>
      <c r="N114" s="62">
        <v>8081.9</v>
      </c>
      <c r="O114" s="62">
        <v>6000</v>
      </c>
      <c r="P114" s="62">
        <v>5000</v>
      </c>
      <c r="Q114" s="62">
        <v>4000</v>
      </c>
      <c r="AD114" s="38">
        <v>301033.19</v>
      </c>
      <c r="AE114" s="42">
        <f>+AD114-E114</f>
        <v>-49850.260000000009</v>
      </c>
      <c r="AF114" s="38">
        <f t="shared" si="43"/>
        <v>350883.45</v>
      </c>
    </row>
    <row r="115" spans="2:32" x14ac:dyDescent="0.2">
      <c r="B115" s="59" t="s">
        <v>221</v>
      </c>
      <c r="C115" s="59" t="s">
        <v>100</v>
      </c>
      <c r="D115" s="60" t="s">
        <v>222</v>
      </c>
      <c r="E115" s="61">
        <f>+'[1]BASE MENSUAL 2022 PRESUP.'!L123</f>
        <v>131821.20000000001</v>
      </c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AD115" s="38"/>
      <c r="AF115" s="38"/>
    </row>
    <row r="116" spans="2:32" x14ac:dyDescent="0.2">
      <c r="B116" s="59" t="s">
        <v>223</v>
      </c>
      <c r="C116" s="59" t="s">
        <v>100</v>
      </c>
      <c r="D116" s="60" t="s">
        <v>224</v>
      </c>
      <c r="E116" s="61">
        <f>+'[1]BASE MENSUAL 2022 PRESUP.'!L124</f>
        <v>1506.24</v>
      </c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AD116" s="38"/>
      <c r="AF116" s="38"/>
    </row>
    <row r="117" spans="2:32" x14ac:dyDescent="0.2">
      <c r="B117" s="59" t="s">
        <v>225</v>
      </c>
      <c r="C117" s="59" t="s">
        <v>100</v>
      </c>
      <c r="D117" s="60" t="s">
        <v>226</v>
      </c>
      <c r="E117" s="61">
        <f>+'[1]BASE MENSUAL 2022 PRESUP.'!L125</f>
        <v>216</v>
      </c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AD117" s="38"/>
      <c r="AF117" s="38"/>
    </row>
    <row r="118" spans="2:32" x14ac:dyDescent="0.2">
      <c r="B118" s="59" t="s">
        <v>227</v>
      </c>
      <c r="C118" s="59" t="s">
        <v>100</v>
      </c>
      <c r="D118" s="60" t="s">
        <v>228</v>
      </c>
      <c r="E118" s="61">
        <f>+'[1]BASE MENSUAL 2022 PRESUP.'!L126</f>
        <v>216</v>
      </c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AD118" s="38"/>
      <c r="AF118" s="38"/>
    </row>
    <row r="119" spans="2:32" x14ac:dyDescent="0.2">
      <c r="B119" s="48" t="s">
        <v>229</v>
      </c>
      <c r="C119" s="48" t="s">
        <v>100</v>
      </c>
      <c r="D119" s="50" t="s">
        <v>230</v>
      </c>
      <c r="E119" s="51">
        <f>+E120</f>
        <v>1164706.94</v>
      </c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AD119" s="38"/>
      <c r="AF119" s="38">
        <f t="shared" si="43"/>
        <v>1164706.94</v>
      </c>
    </row>
    <row r="120" spans="2:32" x14ac:dyDescent="0.2">
      <c r="B120" s="59" t="s">
        <v>231</v>
      </c>
      <c r="C120" s="59" t="s">
        <v>100</v>
      </c>
      <c r="D120" s="60" t="s">
        <v>232</v>
      </c>
      <c r="E120" s="61">
        <f>+'[1]BASE MENSUAL 2022 PRESUP.'!L128</f>
        <v>1164706.94</v>
      </c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AD120" s="38"/>
      <c r="AF120" s="38"/>
    </row>
    <row r="121" spans="2:32" x14ac:dyDescent="0.2">
      <c r="B121" s="48" t="s">
        <v>233</v>
      </c>
      <c r="C121" s="48"/>
      <c r="D121" s="50" t="s">
        <v>234</v>
      </c>
      <c r="E121" s="51">
        <f t="shared" ref="E121:Q121" si="44">SUM(E122:E123)</f>
        <v>60546.55999999999</v>
      </c>
      <c r="F121" s="52">
        <f t="shared" si="44"/>
        <v>14191.669599999999</v>
      </c>
      <c r="G121" s="52">
        <f t="shared" si="44"/>
        <v>4724.5600000000004</v>
      </c>
      <c r="H121" s="52">
        <f t="shared" si="44"/>
        <v>7742.92</v>
      </c>
      <c r="I121" s="52">
        <f t="shared" si="44"/>
        <v>11494.52</v>
      </c>
      <c r="J121" s="52">
        <f t="shared" si="44"/>
        <v>4755.8900000000003</v>
      </c>
      <c r="K121" s="52">
        <f t="shared" si="44"/>
        <v>5490.31</v>
      </c>
      <c r="L121" s="52">
        <f t="shared" si="44"/>
        <v>6736.86</v>
      </c>
      <c r="M121" s="52">
        <f t="shared" si="44"/>
        <v>6736.86</v>
      </c>
      <c r="N121" s="52">
        <f t="shared" si="44"/>
        <v>6953.92</v>
      </c>
      <c r="O121" s="52">
        <f t="shared" si="44"/>
        <v>17434.310000000001</v>
      </c>
      <c r="P121" s="52">
        <f t="shared" si="44"/>
        <v>5741.37</v>
      </c>
      <c r="Q121" s="52">
        <f t="shared" si="44"/>
        <v>18088.38</v>
      </c>
      <c r="AF121" s="38"/>
    </row>
    <row r="122" spans="2:32" x14ac:dyDescent="0.2">
      <c r="B122" s="59" t="s">
        <v>235</v>
      </c>
      <c r="C122" s="59" t="s">
        <v>27</v>
      </c>
      <c r="D122" s="60" t="s">
        <v>236</v>
      </c>
      <c r="E122" s="61">
        <f>+'[1]BASE MENSUAL 2022 PRESUP.'!L130</f>
        <v>678.62</v>
      </c>
      <c r="F122" s="62">
        <f>13778.32*1.03</f>
        <v>14191.669599999999</v>
      </c>
      <c r="G122" s="62">
        <v>4724.5600000000004</v>
      </c>
      <c r="H122" s="62">
        <v>2619.81</v>
      </c>
      <c r="I122" s="62">
        <v>6471.12</v>
      </c>
      <c r="J122" s="62">
        <v>0</v>
      </c>
      <c r="K122" s="62">
        <v>0</v>
      </c>
      <c r="L122" s="62">
        <v>0</v>
      </c>
      <c r="M122" s="62">
        <v>0</v>
      </c>
      <c r="N122" s="62">
        <v>217.06</v>
      </c>
      <c r="O122" s="62">
        <v>0</v>
      </c>
      <c r="P122" s="62">
        <v>210.75</v>
      </c>
      <c r="Q122" s="62">
        <v>434.66</v>
      </c>
      <c r="AF122" s="38">
        <f>+E122</f>
        <v>678.62</v>
      </c>
    </row>
    <row r="123" spans="2:32" x14ac:dyDescent="0.2">
      <c r="B123" s="59" t="s">
        <v>237</v>
      </c>
      <c r="C123" s="59" t="s">
        <v>27</v>
      </c>
      <c r="D123" s="60" t="s">
        <v>238</v>
      </c>
      <c r="E123" s="61">
        <f>+'[1]BASE MENSUAL 2022 PRESUP.'!L131</f>
        <v>59867.939999999988</v>
      </c>
      <c r="F123" s="62">
        <v>0</v>
      </c>
      <c r="G123" s="62">
        <v>0</v>
      </c>
      <c r="H123" s="62">
        <v>5123.1099999999997</v>
      </c>
      <c r="I123" s="62">
        <v>5023.3999999999996</v>
      </c>
      <c r="J123" s="62">
        <v>4755.8900000000003</v>
      </c>
      <c r="K123" s="62">
        <v>5490.31</v>
      </c>
      <c r="L123" s="62">
        <v>6736.86</v>
      </c>
      <c r="M123" s="62">
        <v>6736.86</v>
      </c>
      <c r="N123" s="62">
        <v>6736.86</v>
      </c>
      <c r="O123" s="62">
        <v>17434.310000000001</v>
      </c>
      <c r="P123" s="62">
        <v>5530.62</v>
      </c>
      <c r="Q123" s="62">
        <v>17653.72</v>
      </c>
      <c r="AF123" s="38">
        <f>+E123</f>
        <v>59867.939999999988</v>
      </c>
    </row>
    <row r="124" spans="2:32" x14ac:dyDescent="0.2">
      <c r="B124" s="48" t="s">
        <v>239</v>
      </c>
      <c r="C124" s="48"/>
      <c r="D124" s="50" t="s">
        <v>240</v>
      </c>
      <c r="E124" s="51">
        <f>SUM(E125:E127)</f>
        <v>118308.29000000001</v>
      </c>
      <c r="F124" s="52">
        <f t="shared" ref="F124:Q124" si="45">SUM(F125:F127)</f>
        <v>0</v>
      </c>
      <c r="G124" s="52">
        <f t="shared" si="45"/>
        <v>0</v>
      </c>
      <c r="H124" s="52">
        <f t="shared" si="45"/>
        <v>3714.7156000000004</v>
      </c>
      <c r="I124" s="52">
        <f t="shared" si="45"/>
        <v>3959.6804999999999</v>
      </c>
      <c r="J124" s="52">
        <f t="shared" si="45"/>
        <v>25517.1479</v>
      </c>
      <c r="K124" s="52">
        <f t="shared" si="45"/>
        <v>10559.7248</v>
      </c>
      <c r="L124" s="52">
        <f t="shared" si="45"/>
        <v>0</v>
      </c>
      <c r="M124" s="52">
        <f t="shared" si="45"/>
        <v>0</v>
      </c>
      <c r="N124" s="52">
        <f t="shared" si="45"/>
        <v>2664.5790999999999</v>
      </c>
      <c r="O124" s="52">
        <f t="shared" si="45"/>
        <v>0</v>
      </c>
      <c r="P124" s="52">
        <f t="shared" si="45"/>
        <v>0</v>
      </c>
      <c r="Q124" s="52">
        <f t="shared" si="45"/>
        <v>0</v>
      </c>
      <c r="AF124" s="38"/>
    </row>
    <row r="125" spans="2:32" x14ac:dyDescent="0.2">
      <c r="B125" s="59" t="s">
        <v>241</v>
      </c>
      <c r="C125" s="59" t="s">
        <v>242</v>
      </c>
      <c r="D125" s="60" t="s">
        <v>243</v>
      </c>
      <c r="E125" s="61">
        <f>+'[1]BASE MENSUAL 2022 PRESUP.'!L133</f>
        <v>13043.5</v>
      </c>
      <c r="F125" s="62">
        <v>0</v>
      </c>
      <c r="G125" s="62">
        <v>0</v>
      </c>
      <c r="H125" s="62">
        <f>2815.21*1.03</f>
        <v>2899.6663000000003</v>
      </c>
      <c r="I125" s="62">
        <v>0</v>
      </c>
      <c r="J125" s="62">
        <v>0</v>
      </c>
      <c r="K125" s="62">
        <f>121.74*1.03</f>
        <v>125.3922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AF125" s="38">
        <f>+E125</f>
        <v>13043.5</v>
      </c>
    </row>
    <row r="126" spans="2:32" x14ac:dyDescent="0.2">
      <c r="B126" s="59" t="s">
        <v>244</v>
      </c>
      <c r="C126" s="59" t="s">
        <v>242</v>
      </c>
      <c r="D126" s="60" t="s">
        <v>245</v>
      </c>
      <c r="E126" s="61">
        <f>+'[1]BASE MENSUAL 2022 PRESUP.'!L134</f>
        <v>55791.320000000007</v>
      </c>
      <c r="F126" s="62">
        <v>0</v>
      </c>
      <c r="G126" s="62">
        <v>0</v>
      </c>
      <c r="H126" s="62">
        <f>791.31*1.03</f>
        <v>815.04930000000002</v>
      </c>
      <c r="I126" s="62">
        <f>3286.96*1.03</f>
        <v>3385.5688</v>
      </c>
      <c r="J126" s="62">
        <f>24773.93*1.03</f>
        <v>25517.1479</v>
      </c>
      <c r="K126" s="62">
        <f>10130.42*1.03</f>
        <v>10434.3326</v>
      </c>
      <c r="L126" s="62">
        <v>0</v>
      </c>
      <c r="M126" s="62">
        <v>0</v>
      </c>
      <c r="N126" s="62">
        <f>1826.1*1.03</f>
        <v>1880.883</v>
      </c>
      <c r="O126" s="62">
        <v>0</v>
      </c>
      <c r="P126" s="62">
        <v>0</v>
      </c>
      <c r="Q126" s="62">
        <v>0</v>
      </c>
      <c r="AF126" s="38">
        <f>+E126</f>
        <v>55791.320000000007</v>
      </c>
    </row>
    <row r="127" spans="2:32" x14ac:dyDescent="0.2">
      <c r="B127" s="59" t="s">
        <v>246</v>
      </c>
      <c r="C127" s="59" t="s">
        <v>242</v>
      </c>
      <c r="D127" s="60" t="s">
        <v>247</v>
      </c>
      <c r="E127" s="61">
        <f>+'[1]BASE MENSUAL 2022 PRESUP.'!L135</f>
        <v>49473.47</v>
      </c>
      <c r="F127" s="62">
        <v>0</v>
      </c>
      <c r="G127" s="62">
        <v>0</v>
      </c>
      <c r="H127" s="62">
        <v>0</v>
      </c>
      <c r="I127" s="62">
        <f>557.39*1.03</f>
        <v>574.11170000000004</v>
      </c>
      <c r="J127" s="62">
        <v>0</v>
      </c>
      <c r="K127" s="62">
        <v>0</v>
      </c>
      <c r="L127" s="62">
        <v>0</v>
      </c>
      <c r="M127" s="62">
        <v>0</v>
      </c>
      <c r="N127" s="62">
        <f>760.87*1.03</f>
        <v>783.6961</v>
      </c>
      <c r="O127" s="62">
        <v>0</v>
      </c>
      <c r="P127" s="62">
        <v>0</v>
      </c>
      <c r="Q127" s="62">
        <v>0</v>
      </c>
      <c r="AF127" s="38">
        <f>+E127</f>
        <v>49473.47</v>
      </c>
    </row>
    <row r="128" spans="2:32" x14ac:dyDescent="0.2">
      <c r="B128" s="48" t="s">
        <v>248</v>
      </c>
      <c r="C128" s="48"/>
      <c r="D128" s="50" t="s">
        <v>249</v>
      </c>
      <c r="E128" s="51">
        <f t="shared" ref="E128:Q128" si="46">+E129+E136+E146+E163+E167+E184+E199+E208+E229+E231</f>
        <v>5027710.2800000012</v>
      </c>
      <c r="F128" s="52">
        <f t="shared" si="46"/>
        <v>579534.70000000007</v>
      </c>
      <c r="G128" s="52">
        <f t="shared" si="46"/>
        <v>456878.35000000003</v>
      </c>
      <c r="H128" s="52">
        <f t="shared" si="46"/>
        <v>499268.94999999995</v>
      </c>
      <c r="I128" s="52">
        <f t="shared" si="46"/>
        <v>538439.86</v>
      </c>
      <c r="J128" s="52">
        <f t="shared" si="46"/>
        <v>576358.55000000016</v>
      </c>
      <c r="K128" s="52">
        <f t="shared" si="46"/>
        <v>570503.6</v>
      </c>
      <c r="L128" s="52">
        <f t="shared" si="46"/>
        <v>423614.68</v>
      </c>
      <c r="M128" s="52">
        <f t="shared" si="46"/>
        <v>439982.08999999991</v>
      </c>
      <c r="N128" s="52">
        <f t="shared" si="46"/>
        <v>743671.80999999994</v>
      </c>
      <c r="O128" s="52">
        <f t="shared" si="46"/>
        <v>420411.42</v>
      </c>
      <c r="P128" s="52">
        <f t="shared" si="46"/>
        <v>358256.97999999992</v>
      </c>
      <c r="Q128" s="52">
        <f t="shared" si="46"/>
        <v>396975.06999999995</v>
      </c>
      <c r="AF128" s="38"/>
    </row>
    <row r="129" spans="2:32" x14ac:dyDescent="0.2">
      <c r="B129" s="48" t="s">
        <v>250</v>
      </c>
      <c r="C129" s="48"/>
      <c r="D129" s="50" t="s">
        <v>251</v>
      </c>
      <c r="E129" s="51">
        <f t="shared" ref="E129:Q129" si="47">SUM(E130:E135)</f>
        <v>61293.100000000013</v>
      </c>
      <c r="F129" s="52">
        <f t="shared" si="47"/>
        <v>10000</v>
      </c>
      <c r="G129" s="52">
        <f t="shared" si="47"/>
        <v>8000</v>
      </c>
      <c r="H129" s="52">
        <f t="shared" si="47"/>
        <v>7000</v>
      </c>
      <c r="I129" s="52">
        <f t="shared" si="47"/>
        <v>3000</v>
      </c>
      <c r="J129" s="52">
        <f t="shared" si="47"/>
        <v>0</v>
      </c>
      <c r="K129" s="52">
        <f t="shared" si="47"/>
        <v>3165.06</v>
      </c>
      <c r="L129" s="52">
        <f t="shared" si="47"/>
        <v>1671.16</v>
      </c>
      <c r="M129" s="52">
        <f t="shared" si="47"/>
        <v>1671.16</v>
      </c>
      <c r="N129" s="52">
        <f t="shared" si="47"/>
        <v>1671.16</v>
      </c>
      <c r="O129" s="52">
        <f t="shared" si="47"/>
        <v>1843.26</v>
      </c>
      <c r="P129" s="52">
        <f t="shared" si="47"/>
        <v>879.07</v>
      </c>
      <c r="Q129" s="52">
        <f t="shared" si="47"/>
        <v>5852.52</v>
      </c>
      <c r="AF129" s="38"/>
    </row>
    <row r="130" spans="2:32" x14ac:dyDescent="0.2">
      <c r="B130" s="59" t="s">
        <v>252</v>
      </c>
      <c r="C130" s="59" t="s">
        <v>27</v>
      </c>
      <c r="D130" s="60" t="s">
        <v>253</v>
      </c>
      <c r="E130" s="61">
        <f>+'[1]BASE MENSUAL 2022 PRESUP.'!L138</f>
        <v>0</v>
      </c>
      <c r="F130" s="62">
        <v>0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AF130" s="38">
        <f t="shared" ref="AF130:AF135" si="48">+E130</f>
        <v>0</v>
      </c>
    </row>
    <row r="131" spans="2:32" x14ac:dyDescent="0.2">
      <c r="B131" s="59" t="s">
        <v>254</v>
      </c>
      <c r="C131" s="59" t="s">
        <v>27</v>
      </c>
      <c r="D131" s="60" t="s">
        <v>255</v>
      </c>
      <c r="E131" s="61">
        <f>+'[1]BASE MENSUAL 2022 PRESUP.'!L139</f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  <c r="Q131" s="62">
        <v>0</v>
      </c>
      <c r="AF131" s="38">
        <f t="shared" si="48"/>
        <v>0</v>
      </c>
    </row>
    <row r="132" spans="2:32" x14ac:dyDescent="0.2">
      <c r="B132" s="59" t="s">
        <v>256</v>
      </c>
      <c r="C132" s="59" t="s">
        <v>27</v>
      </c>
      <c r="D132" s="60" t="s">
        <v>257</v>
      </c>
      <c r="E132" s="61">
        <f>+'[1]BASE MENSUAL 2022 PRESUP.'!L140</f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AF132" s="38">
        <f t="shared" si="48"/>
        <v>0</v>
      </c>
    </row>
    <row r="133" spans="2:32" x14ac:dyDescent="0.2">
      <c r="B133" s="59" t="s">
        <v>258</v>
      </c>
      <c r="C133" s="59" t="s">
        <v>27</v>
      </c>
      <c r="D133" s="60" t="s">
        <v>259</v>
      </c>
      <c r="E133" s="61">
        <f>+'[1]BASE MENSUAL 2022 PRESUP.'!L141</f>
        <v>0</v>
      </c>
      <c r="F133" s="62">
        <v>0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AF133" s="38">
        <f t="shared" si="48"/>
        <v>0</v>
      </c>
    </row>
    <row r="134" spans="2:32" x14ac:dyDescent="0.2">
      <c r="B134" s="59" t="s">
        <v>260</v>
      </c>
      <c r="C134" s="59" t="s">
        <v>27</v>
      </c>
      <c r="D134" s="60" t="s">
        <v>261</v>
      </c>
      <c r="E134" s="61">
        <f>+'[1]BASE MENSUAL 2022 PRESUP.'!L142</f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AF134" s="38">
        <f t="shared" si="48"/>
        <v>0</v>
      </c>
    </row>
    <row r="135" spans="2:32" x14ac:dyDescent="0.2">
      <c r="B135" s="59" t="s">
        <v>262</v>
      </c>
      <c r="C135" s="59" t="s">
        <v>27</v>
      </c>
      <c r="D135" s="60" t="s">
        <v>263</v>
      </c>
      <c r="E135" s="61">
        <f>+'[1]BASE MENSUAL 2022 PRESUP.'!L143</f>
        <v>61293.100000000013</v>
      </c>
      <c r="F135" s="62">
        <v>10000</v>
      </c>
      <c r="G135" s="62">
        <v>8000</v>
      </c>
      <c r="H135" s="62">
        <v>7000</v>
      </c>
      <c r="I135" s="62">
        <v>3000</v>
      </c>
      <c r="J135" s="62">
        <v>0</v>
      </c>
      <c r="K135" s="62">
        <v>3165.06</v>
      </c>
      <c r="L135" s="62">
        <v>1671.16</v>
      </c>
      <c r="M135" s="62">
        <v>1671.16</v>
      </c>
      <c r="N135" s="62">
        <v>1671.16</v>
      </c>
      <c r="O135" s="62">
        <v>1843.26</v>
      </c>
      <c r="P135" s="62">
        <v>879.07</v>
      </c>
      <c r="Q135" s="62">
        <v>5852.52</v>
      </c>
      <c r="AF135" s="38">
        <f t="shared" si="48"/>
        <v>61293.100000000013</v>
      </c>
    </row>
    <row r="136" spans="2:32" x14ac:dyDescent="0.2">
      <c r="B136" s="48" t="s">
        <v>264</v>
      </c>
      <c r="C136" s="48"/>
      <c r="D136" s="50" t="s">
        <v>265</v>
      </c>
      <c r="E136" s="51">
        <f>SUM(E137:E145)</f>
        <v>25048.190000000006</v>
      </c>
      <c r="F136" s="52">
        <f t="shared" ref="F136:Q136" si="49">SUM(F137:F145)</f>
        <v>1271.9099999999999</v>
      </c>
      <c r="G136" s="52">
        <f t="shared" si="49"/>
        <v>1123.5999999999999</v>
      </c>
      <c r="H136" s="52">
        <f t="shared" si="49"/>
        <v>1945.59</v>
      </c>
      <c r="I136" s="52">
        <f t="shared" si="49"/>
        <v>2378.64</v>
      </c>
      <c r="J136" s="52">
        <f t="shared" si="49"/>
        <v>1568.56</v>
      </c>
      <c r="K136" s="52">
        <f t="shared" si="49"/>
        <v>961.01</v>
      </c>
      <c r="L136" s="52">
        <f t="shared" si="49"/>
        <v>949.32</v>
      </c>
      <c r="M136" s="52">
        <f t="shared" si="49"/>
        <v>949.32</v>
      </c>
      <c r="N136" s="52">
        <f t="shared" si="49"/>
        <v>8648.3999999999978</v>
      </c>
      <c r="O136" s="52">
        <f t="shared" si="49"/>
        <v>1985.8600000000001</v>
      </c>
      <c r="P136" s="52">
        <f t="shared" si="49"/>
        <v>927.26</v>
      </c>
      <c r="Q136" s="52">
        <f t="shared" si="49"/>
        <v>2338.7200000000003</v>
      </c>
      <c r="AF136" s="38"/>
    </row>
    <row r="137" spans="2:32" x14ac:dyDescent="0.2">
      <c r="B137" s="59" t="s">
        <v>266</v>
      </c>
      <c r="C137" s="59" t="s">
        <v>267</v>
      </c>
      <c r="D137" s="60" t="s">
        <v>268</v>
      </c>
      <c r="E137" s="61">
        <f>+'[1]BASE MENSUAL 2022 PRESUP.'!L145</f>
        <v>8316.8499999999985</v>
      </c>
      <c r="F137" s="62">
        <v>492.53</v>
      </c>
      <c r="G137" s="62">
        <v>591.09</v>
      </c>
      <c r="H137" s="62">
        <v>1128.44</v>
      </c>
      <c r="I137" s="62">
        <v>429.88</v>
      </c>
      <c r="J137" s="62">
        <v>591.09</v>
      </c>
      <c r="K137" s="62">
        <v>322.41000000000003</v>
      </c>
      <c r="L137" s="62">
        <v>0</v>
      </c>
      <c r="M137" s="62">
        <v>0</v>
      </c>
      <c r="N137" s="62">
        <v>3707.72</v>
      </c>
      <c r="O137" s="62">
        <v>421.48</v>
      </c>
      <c r="P137" s="62">
        <v>474.16</v>
      </c>
      <c r="Q137" s="62">
        <v>158.05000000000001</v>
      </c>
      <c r="AF137" s="38">
        <f t="shared" ref="AF137:AF145" si="50">+E137</f>
        <v>8316.8499999999985</v>
      </c>
    </row>
    <row r="138" spans="2:32" x14ac:dyDescent="0.2">
      <c r="B138" s="59" t="s">
        <v>269</v>
      </c>
      <c r="C138" s="59" t="s">
        <v>267</v>
      </c>
      <c r="D138" s="60" t="s">
        <v>270</v>
      </c>
      <c r="E138" s="61">
        <f>+'[1]BASE MENSUAL 2022 PRESUP.'!L146</f>
        <v>107.48</v>
      </c>
      <c r="F138" s="62">
        <v>0</v>
      </c>
      <c r="G138" s="62">
        <v>0</v>
      </c>
      <c r="H138" s="62">
        <v>53.74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53.74</v>
      </c>
      <c r="O138" s="62">
        <v>0</v>
      </c>
      <c r="P138" s="62">
        <v>0</v>
      </c>
      <c r="Q138" s="62">
        <v>0</v>
      </c>
      <c r="AF138" s="38">
        <f t="shared" si="50"/>
        <v>107.48</v>
      </c>
    </row>
    <row r="139" spans="2:32" x14ac:dyDescent="0.2">
      <c r="B139" s="59" t="s">
        <v>271</v>
      </c>
      <c r="C139" s="59" t="s">
        <v>267</v>
      </c>
      <c r="D139" s="60" t="s">
        <v>272</v>
      </c>
      <c r="E139" s="61">
        <f>+'[1]BASE MENSUAL 2022 PRESUP.'!L147</f>
        <v>975.24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792</v>
      </c>
      <c r="O139" s="62">
        <v>0</v>
      </c>
      <c r="P139" s="62">
        <v>0</v>
      </c>
      <c r="Q139" s="62">
        <v>183.24</v>
      </c>
      <c r="AF139" s="38">
        <f t="shared" si="50"/>
        <v>975.24</v>
      </c>
    </row>
    <row r="140" spans="2:32" x14ac:dyDescent="0.2">
      <c r="B140" s="59" t="s">
        <v>273</v>
      </c>
      <c r="C140" s="59" t="s">
        <v>267</v>
      </c>
      <c r="D140" s="60" t="s">
        <v>274</v>
      </c>
      <c r="E140" s="61">
        <f>+'[1]BASE MENSUAL 2022 PRESUP.'!L148</f>
        <v>2847.96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949.32</v>
      </c>
      <c r="M140" s="62">
        <v>949.32</v>
      </c>
      <c r="N140" s="62">
        <v>949.32</v>
      </c>
      <c r="O140" s="62">
        <v>0</v>
      </c>
      <c r="P140" s="62">
        <v>0</v>
      </c>
      <c r="Q140" s="62">
        <v>0</v>
      </c>
      <c r="AF140" s="38">
        <f t="shared" si="50"/>
        <v>2847.96</v>
      </c>
    </row>
    <row r="141" spans="2:32" x14ac:dyDescent="0.2">
      <c r="B141" s="59" t="s">
        <v>275</v>
      </c>
      <c r="C141" s="59" t="s">
        <v>267</v>
      </c>
      <c r="D141" s="60" t="s">
        <v>276</v>
      </c>
      <c r="E141" s="61">
        <f>+'[1]BASE MENSUAL 2022 PRESUP.'!L149</f>
        <v>8931.4200000000019</v>
      </c>
      <c r="F141" s="62">
        <v>0</v>
      </c>
      <c r="G141" s="62">
        <v>0</v>
      </c>
      <c r="H141" s="62">
        <v>0</v>
      </c>
      <c r="I141" s="62">
        <v>1948.76</v>
      </c>
      <c r="J141" s="62">
        <v>708.64</v>
      </c>
      <c r="K141" s="62">
        <v>442.9</v>
      </c>
      <c r="L141" s="62">
        <v>0</v>
      </c>
      <c r="M141" s="62">
        <v>0</v>
      </c>
      <c r="N141" s="62">
        <v>2568.8200000000002</v>
      </c>
      <c r="O141" s="62">
        <v>906.19</v>
      </c>
      <c r="P141" s="62">
        <v>453.1</v>
      </c>
      <c r="Q141" s="62">
        <v>1903.01</v>
      </c>
      <c r="AF141" s="38">
        <f t="shared" si="50"/>
        <v>8931.4200000000019</v>
      </c>
    </row>
    <row r="142" spans="2:32" x14ac:dyDescent="0.2">
      <c r="B142" s="59" t="s">
        <v>277</v>
      </c>
      <c r="C142" s="59" t="s">
        <v>267</v>
      </c>
      <c r="D142" s="60" t="s">
        <v>278</v>
      </c>
      <c r="E142" s="61">
        <f>+'[1]BASE MENSUAL 2022 PRESUP.'!L150</f>
        <v>1166.99</v>
      </c>
      <c r="F142" s="62">
        <v>179.22</v>
      </c>
      <c r="G142" s="62">
        <v>89.61</v>
      </c>
      <c r="H142" s="62">
        <v>89.61</v>
      </c>
      <c r="I142" s="62">
        <v>0</v>
      </c>
      <c r="J142" s="62">
        <v>268.83</v>
      </c>
      <c r="K142" s="62">
        <v>0</v>
      </c>
      <c r="L142" s="62">
        <v>0</v>
      </c>
      <c r="M142" s="62">
        <v>0</v>
      </c>
      <c r="N142" s="62">
        <v>448.05</v>
      </c>
      <c r="O142" s="62">
        <v>91.67</v>
      </c>
      <c r="P142" s="62">
        <v>0</v>
      </c>
      <c r="Q142" s="62">
        <v>0</v>
      </c>
      <c r="AF142" s="38">
        <f t="shared" si="50"/>
        <v>1166.99</v>
      </c>
    </row>
    <row r="143" spans="2:32" x14ac:dyDescent="0.2">
      <c r="B143" s="59" t="s">
        <v>279</v>
      </c>
      <c r="C143" s="59" t="s">
        <v>267</v>
      </c>
      <c r="D143" s="60" t="s">
        <v>280</v>
      </c>
      <c r="E143" s="61">
        <f>+'[1]BASE MENSUAL 2022 PRESUP.'!L151</f>
        <v>222.15</v>
      </c>
      <c r="F143" s="62">
        <v>67.650000000000006</v>
      </c>
      <c r="G143" s="62">
        <v>0</v>
      </c>
      <c r="H143" s="62">
        <v>0</v>
      </c>
      <c r="I143" s="62">
        <v>0</v>
      </c>
      <c r="J143" s="62">
        <v>0</v>
      </c>
      <c r="K143" s="62">
        <v>103</v>
      </c>
      <c r="L143" s="62">
        <v>0</v>
      </c>
      <c r="M143" s="62">
        <v>0</v>
      </c>
      <c r="N143" s="62">
        <v>51.5</v>
      </c>
      <c r="O143" s="62">
        <v>0</v>
      </c>
      <c r="P143" s="62">
        <v>0</v>
      </c>
      <c r="Q143" s="62">
        <v>0</v>
      </c>
      <c r="AF143" s="38">
        <f t="shared" si="50"/>
        <v>222.15</v>
      </c>
    </row>
    <row r="144" spans="2:32" x14ac:dyDescent="0.2">
      <c r="B144" s="59" t="s">
        <v>281</v>
      </c>
      <c r="C144" s="59" t="s">
        <v>267</v>
      </c>
      <c r="D144" s="60" t="s">
        <v>282</v>
      </c>
      <c r="E144" s="61">
        <f>+'[1]BASE MENSUAL 2022 PRESUP.'!L152</f>
        <v>169.95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92.7</v>
      </c>
      <c r="L144" s="62">
        <v>0</v>
      </c>
      <c r="M144" s="62">
        <v>0</v>
      </c>
      <c r="N144" s="62">
        <v>77.25</v>
      </c>
      <c r="O144" s="62">
        <v>0</v>
      </c>
      <c r="P144" s="62">
        <v>0</v>
      </c>
      <c r="Q144" s="62">
        <v>0</v>
      </c>
      <c r="AF144" s="38">
        <f t="shared" si="50"/>
        <v>169.95</v>
      </c>
    </row>
    <row r="145" spans="2:32" x14ac:dyDescent="0.2">
      <c r="B145" s="59" t="s">
        <v>283</v>
      </c>
      <c r="C145" s="59" t="s">
        <v>267</v>
      </c>
      <c r="D145" s="60" t="s">
        <v>284</v>
      </c>
      <c r="E145" s="61">
        <f>+'[1]BASE MENSUAL 2022 PRESUP.'!L153</f>
        <v>2310.15</v>
      </c>
      <c r="F145" s="62">
        <v>532.51</v>
      </c>
      <c r="G145" s="62">
        <v>442.9</v>
      </c>
      <c r="H145" s="62">
        <v>673.8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566.52</v>
      </c>
      <c r="P145" s="62">
        <v>0</v>
      </c>
      <c r="Q145" s="62">
        <v>94.42</v>
      </c>
      <c r="AF145" s="38">
        <f t="shared" si="50"/>
        <v>2310.15</v>
      </c>
    </row>
    <row r="146" spans="2:32" x14ac:dyDescent="0.2">
      <c r="B146" s="48" t="s">
        <v>285</v>
      </c>
      <c r="C146" s="48"/>
      <c r="D146" s="50" t="s">
        <v>286</v>
      </c>
      <c r="E146" s="51">
        <f>SUM(E147:E162)+E165</f>
        <v>132723.65999999997</v>
      </c>
      <c r="F146" s="52">
        <f t="shared" ref="F146:Q146" si="51">SUM(F147:F162)+F165</f>
        <v>50329.65</v>
      </c>
      <c r="G146" s="52">
        <f t="shared" si="51"/>
        <v>27760.989999999998</v>
      </c>
      <c r="H146" s="52">
        <f t="shared" si="51"/>
        <v>19999.73</v>
      </c>
      <c r="I146" s="52">
        <f t="shared" si="51"/>
        <v>21846.879999999997</v>
      </c>
      <c r="J146" s="52">
        <f t="shared" si="51"/>
        <v>13263.96</v>
      </c>
      <c r="K146" s="52">
        <f t="shared" si="51"/>
        <v>8045.76</v>
      </c>
      <c r="L146" s="52">
        <f t="shared" si="51"/>
        <v>0</v>
      </c>
      <c r="M146" s="52">
        <f t="shared" si="51"/>
        <v>5838.3099999999995</v>
      </c>
      <c r="N146" s="52">
        <f t="shared" si="51"/>
        <v>50695.81</v>
      </c>
      <c r="O146" s="52">
        <f t="shared" si="51"/>
        <v>17446.580000000002</v>
      </c>
      <c r="P146" s="52">
        <f t="shared" si="51"/>
        <v>20958.68</v>
      </c>
      <c r="Q146" s="52">
        <f t="shared" si="51"/>
        <v>1889.3999999999999</v>
      </c>
      <c r="AF146" s="38"/>
    </row>
    <row r="147" spans="2:32" x14ac:dyDescent="0.2">
      <c r="B147" s="59" t="s">
        <v>287</v>
      </c>
      <c r="C147" s="59" t="s">
        <v>27</v>
      </c>
      <c r="D147" s="60" t="s">
        <v>288</v>
      </c>
      <c r="E147" s="61">
        <f>+'[1]BASE MENSUAL 2022 PRESUP.'!L155</f>
        <v>10560.2</v>
      </c>
      <c r="F147" s="62">
        <v>2579.5300000000002</v>
      </c>
      <c r="G147" s="62">
        <v>2020.63</v>
      </c>
      <c r="H147" s="62">
        <v>1074.81</v>
      </c>
      <c r="I147" s="62">
        <v>1461.73</v>
      </c>
      <c r="J147" s="62">
        <v>988.82</v>
      </c>
      <c r="K147" s="62">
        <v>601.89</v>
      </c>
      <c r="L147" s="62">
        <v>0</v>
      </c>
      <c r="M147" s="62">
        <v>0</v>
      </c>
      <c r="N147" s="62">
        <v>3525.34</v>
      </c>
      <c r="O147" s="62">
        <v>1095.8399999999999</v>
      </c>
      <c r="P147" s="62">
        <v>1053.69</v>
      </c>
      <c r="Q147" s="62">
        <v>126.44</v>
      </c>
      <c r="AF147" s="38">
        <f t="shared" ref="AF147:AF162" si="52">+E147</f>
        <v>10560.2</v>
      </c>
    </row>
    <row r="148" spans="2:32" x14ac:dyDescent="0.2">
      <c r="B148" s="59" t="s">
        <v>289</v>
      </c>
      <c r="C148" s="59" t="s">
        <v>27</v>
      </c>
      <c r="D148" s="60" t="s">
        <v>290</v>
      </c>
      <c r="E148" s="61">
        <f>+'[1]BASE MENSUAL 2022 PRESUP.'!L156</f>
        <v>0</v>
      </c>
      <c r="F148" s="62">
        <v>10753.94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126.44</v>
      </c>
      <c r="Q148" s="62">
        <v>0</v>
      </c>
      <c r="AF148" s="38">
        <f t="shared" si="52"/>
        <v>0</v>
      </c>
    </row>
    <row r="149" spans="2:32" x14ac:dyDescent="0.2">
      <c r="B149" s="59" t="s">
        <v>291</v>
      </c>
      <c r="C149" s="59" t="s">
        <v>27</v>
      </c>
      <c r="D149" s="60" t="s">
        <v>292</v>
      </c>
      <c r="E149" s="61">
        <f>+'[1]BASE MENSUAL 2022 PRESUP.'!L157</f>
        <v>313.04000000000002</v>
      </c>
      <c r="F149" s="62">
        <v>0</v>
      </c>
      <c r="G149" s="62">
        <v>161.22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322.43</v>
      </c>
      <c r="O149" s="62">
        <v>0</v>
      </c>
      <c r="P149" s="62">
        <v>0</v>
      </c>
      <c r="Q149" s="62">
        <v>0</v>
      </c>
      <c r="AF149" s="38">
        <f t="shared" si="52"/>
        <v>313.04000000000002</v>
      </c>
    </row>
    <row r="150" spans="2:32" x14ac:dyDescent="0.2">
      <c r="B150" s="59" t="s">
        <v>293</v>
      </c>
      <c r="C150" s="59" t="s">
        <v>27</v>
      </c>
      <c r="D150" s="60" t="s">
        <v>294</v>
      </c>
      <c r="E150" s="61">
        <f>+'[1]BASE MENSUAL 2022 PRESUP.'!L158</f>
        <v>0</v>
      </c>
      <c r="F150" s="62">
        <v>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114.95</v>
      </c>
      <c r="Q150" s="62">
        <v>114.95</v>
      </c>
      <c r="AF150" s="38">
        <f t="shared" si="52"/>
        <v>0</v>
      </c>
    </row>
    <row r="151" spans="2:32" x14ac:dyDescent="0.2">
      <c r="B151" s="59" t="s">
        <v>295</v>
      </c>
      <c r="C151" s="59" t="s">
        <v>27</v>
      </c>
      <c r="D151" s="60" t="s">
        <v>296</v>
      </c>
      <c r="E151" s="61">
        <f>+'[1]BASE MENSUAL 2022 PRESUP.'!L159</f>
        <v>130.14000000000001</v>
      </c>
      <c r="F151" s="62">
        <v>134.25</v>
      </c>
      <c r="G151" s="62">
        <v>0</v>
      </c>
      <c r="H151" s="62">
        <v>89.36</v>
      </c>
      <c r="I151" s="62">
        <v>0</v>
      </c>
      <c r="J151" s="62">
        <v>0</v>
      </c>
      <c r="K151" s="62">
        <v>44.78</v>
      </c>
      <c r="L151" s="62">
        <v>0</v>
      </c>
      <c r="M151" s="62">
        <v>0</v>
      </c>
      <c r="N151" s="62">
        <v>44.68</v>
      </c>
      <c r="O151" s="62">
        <v>86.77</v>
      </c>
      <c r="P151" s="62">
        <v>48.41</v>
      </c>
      <c r="Q151" s="62">
        <v>43.38</v>
      </c>
      <c r="AF151" s="38">
        <f t="shared" si="52"/>
        <v>130.14000000000001</v>
      </c>
    </row>
    <row r="152" spans="2:32" x14ac:dyDescent="0.2">
      <c r="B152" s="59" t="s">
        <v>297</v>
      </c>
      <c r="C152" s="59" t="s">
        <v>27</v>
      </c>
      <c r="D152" s="60" t="s">
        <v>298</v>
      </c>
      <c r="E152" s="61">
        <f>+'[1]BASE MENSUAL 2022 PRESUP.'!L160</f>
        <v>433.8</v>
      </c>
      <c r="F152" s="62">
        <v>217.4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130.13999999999999</v>
      </c>
      <c r="O152" s="62">
        <v>0</v>
      </c>
      <c r="P152" s="62">
        <v>0</v>
      </c>
      <c r="Q152" s="62">
        <f>84.24+12.95</f>
        <v>97.19</v>
      </c>
      <c r="AD152" s="8">
        <f>431.78*1.03</f>
        <v>444.73339999999996</v>
      </c>
      <c r="AE152" s="42">
        <f t="shared" ref="AE152:AE216" si="53">+AD152-E152</f>
        <v>10.933399999999949</v>
      </c>
      <c r="AF152" s="38">
        <f t="shared" si="52"/>
        <v>433.8</v>
      </c>
    </row>
    <row r="153" spans="2:32" x14ac:dyDescent="0.2">
      <c r="B153" s="59" t="s">
        <v>299</v>
      </c>
      <c r="C153" s="59" t="s">
        <v>27</v>
      </c>
      <c r="D153" s="60" t="s">
        <v>300</v>
      </c>
      <c r="E153" s="61">
        <f>+'[1]BASE MENSUAL 2022 PRESUP.'!L161</f>
        <v>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91.67</v>
      </c>
      <c r="P153" s="62">
        <v>0</v>
      </c>
      <c r="Q153" s="62">
        <v>0</v>
      </c>
      <c r="AD153" s="8">
        <f>89*1.03</f>
        <v>91.67</v>
      </c>
      <c r="AE153" s="42">
        <f t="shared" si="53"/>
        <v>91.67</v>
      </c>
      <c r="AF153" s="38">
        <f t="shared" si="52"/>
        <v>0</v>
      </c>
    </row>
    <row r="154" spans="2:32" x14ac:dyDescent="0.2">
      <c r="B154" s="59" t="s">
        <v>301</v>
      </c>
      <c r="C154" s="59" t="s">
        <v>27</v>
      </c>
      <c r="D154" s="60" t="s">
        <v>302</v>
      </c>
      <c r="E154" s="61">
        <f>+'[1]BASE MENSUAL 2022 PRESUP.'!L162</f>
        <v>96.52</v>
      </c>
      <c r="F154" s="62">
        <v>0</v>
      </c>
      <c r="G154" s="62">
        <v>96.52</v>
      </c>
      <c r="H154" s="62">
        <v>0</v>
      </c>
      <c r="I154" s="62">
        <v>96.52</v>
      </c>
      <c r="J154" s="62">
        <v>0</v>
      </c>
      <c r="K154" s="62">
        <v>0</v>
      </c>
      <c r="L154" s="62">
        <v>0</v>
      </c>
      <c r="M154" s="62">
        <v>0</v>
      </c>
      <c r="N154" s="62">
        <f>96.52+8.69</f>
        <v>105.21</v>
      </c>
      <c r="O154" s="62">
        <v>0</v>
      </c>
      <c r="P154" s="62">
        <v>0</v>
      </c>
      <c r="Q154" s="62">
        <v>0</v>
      </c>
      <c r="AD154" s="8">
        <f>289.56*1.03</f>
        <v>298.24680000000001</v>
      </c>
      <c r="AE154" s="42">
        <f t="shared" si="53"/>
        <v>201.72680000000003</v>
      </c>
      <c r="AF154" s="38">
        <f t="shared" si="52"/>
        <v>96.52</v>
      </c>
    </row>
    <row r="155" spans="2:32" x14ac:dyDescent="0.2">
      <c r="B155" s="59" t="s">
        <v>303</v>
      </c>
      <c r="C155" s="59" t="s">
        <v>27</v>
      </c>
      <c r="D155" s="60" t="s">
        <v>304</v>
      </c>
      <c r="E155" s="61">
        <f>+'[1]BASE MENSUAL 2022 PRESUP.'!L163</f>
        <v>0</v>
      </c>
      <c r="F155" s="62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AE155" s="42">
        <f t="shared" si="53"/>
        <v>0</v>
      </c>
      <c r="AF155" s="38">
        <f t="shared" si="52"/>
        <v>0</v>
      </c>
    </row>
    <row r="156" spans="2:32" x14ac:dyDescent="0.2">
      <c r="B156" s="59" t="s">
        <v>305</v>
      </c>
      <c r="C156" s="59" t="s">
        <v>27</v>
      </c>
      <c r="D156" s="60" t="s">
        <v>306</v>
      </c>
      <c r="E156" s="61">
        <f>+'[1]BASE MENSUAL 2022 PRESUP.'!L164</f>
        <v>0</v>
      </c>
      <c r="F156" s="62">
        <v>0</v>
      </c>
      <c r="G156" s="62">
        <v>0</v>
      </c>
      <c r="H156" s="62">
        <v>0</v>
      </c>
      <c r="I156" s="62">
        <v>93.91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f>42.12+4.08</f>
        <v>46.199999999999996</v>
      </c>
      <c r="P156" s="62">
        <v>0</v>
      </c>
      <c r="Q156" s="62">
        <v>0</v>
      </c>
      <c r="AD156" s="8">
        <f>136.03*1.03</f>
        <v>140.11090000000002</v>
      </c>
      <c r="AE156" s="42">
        <f t="shared" si="53"/>
        <v>140.11090000000002</v>
      </c>
      <c r="AF156" s="38">
        <f t="shared" si="52"/>
        <v>0</v>
      </c>
    </row>
    <row r="157" spans="2:32" x14ac:dyDescent="0.2">
      <c r="B157" s="59" t="s">
        <v>307</v>
      </c>
      <c r="C157" s="59" t="s">
        <v>27</v>
      </c>
      <c r="D157" s="60" t="s">
        <v>308</v>
      </c>
      <c r="E157" s="61">
        <f>+'[1]BASE MENSUAL 2022 PRESUP.'!L165</f>
        <v>16752.510000000002</v>
      </c>
      <c r="F157" s="62">
        <v>3511.2</v>
      </c>
      <c r="G157" s="62">
        <v>2629.48</v>
      </c>
      <c r="H157" s="62">
        <v>939.1</v>
      </c>
      <c r="I157" s="62">
        <v>1784.29</v>
      </c>
      <c r="J157" s="62">
        <v>1596.47</v>
      </c>
      <c r="K157" s="62">
        <v>845.19</v>
      </c>
      <c r="L157" s="62">
        <v>0</v>
      </c>
      <c r="M157" s="62">
        <v>557.98</v>
      </c>
      <c r="N157" s="62">
        <v>6010.24</v>
      </c>
      <c r="O157" s="62">
        <v>366.68</v>
      </c>
      <c r="P157" s="62">
        <v>733.36</v>
      </c>
      <c r="Q157" s="62">
        <v>183.34</v>
      </c>
      <c r="AD157" s="8">
        <f>18599.35*1.03</f>
        <v>19157.3305</v>
      </c>
      <c r="AE157" s="42">
        <f t="shared" si="53"/>
        <v>2404.820499999998</v>
      </c>
      <c r="AF157" s="38">
        <f t="shared" si="52"/>
        <v>16752.510000000002</v>
      </c>
    </row>
    <row r="158" spans="2:32" x14ac:dyDescent="0.2">
      <c r="B158" s="59" t="s">
        <v>309</v>
      </c>
      <c r="C158" s="59" t="s">
        <v>27</v>
      </c>
      <c r="D158" s="60" t="s">
        <v>310</v>
      </c>
      <c r="E158" s="61">
        <f>+'[1]BASE MENSUAL 2022 PRESUP.'!L166</f>
        <v>29358.55</v>
      </c>
      <c r="F158" s="62">
        <v>9480.48</v>
      </c>
      <c r="G158" s="62">
        <v>7419.06</v>
      </c>
      <c r="H158" s="62">
        <v>6182.55</v>
      </c>
      <c r="I158" s="62">
        <v>5358.21</v>
      </c>
      <c r="J158" s="62">
        <v>2473.02</v>
      </c>
      <c r="K158" s="62">
        <v>1648.68</v>
      </c>
      <c r="L158" s="62">
        <v>0</v>
      </c>
      <c r="M158" s="62">
        <v>1623.01</v>
      </c>
      <c r="N158" s="62">
        <v>6182.55</v>
      </c>
      <c r="O158" s="62">
        <v>8486.1</v>
      </c>
      <c r="P158" s="62">
        <v>6465.6</v>
      </c>
      <c r="Q158" s="62">
        <v>404.1</v>
      </c>
      <c r="AD158" s="8">
        <f>54100.35*1.03</f>
        <v>55723.360500000003</v>
      </c>
      <c r="AE158" s="42">
        <f t="shared" si="53"/>
        <v>26364.810500000003</v>
      </c>
      <c r="AF158" s="38">
        <f t="shared" si="52"/>
        <v>29358.55</v>
      </c>
    </row>
    <row r="159" spans="2:32" x14ac:dyDescent="0.2">
      <c r="B159" s="59" t="s">
        <v>311</v>
      </c>
      <c r="C159" s="59" t="s">
        <v>27</v>
      </c>
      <c r="D159" s="60" t="s">
        <v>312</v>
      </c>
      <c r="E159" s="61">
        <f>+'[1]BASE MENSUAL 2022 PRESUP.'!L167</f>
        <v>0</v>
      </c>
      <c r="F159" s="62">
        <v>1648.7</v>
      </c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122.2</v>
      </c>
      <c r="P159" s="62">
        <v>2424.63</v>
      </c>
      <c r="Q159" s="62">
        <v>0</v>
      </c>
      <c r="AD159" s="8">
        <f>4073.33*1.03</f>
        <v>4195.5299000000005</v>
      </c>
      <c r="AE159" s="42">
        <f t="shared" si="53"/>
        <v>4195.5299000000005</v>
      </c>
      <c r="AF159" s="38">
        <f t="shared" si="52"/>
        <v>0</v>
      </c>
    </row>
    <row r="160" spans="2:32" x14ac:dyDescent="0.2">
      <c r="B160" s="59" t="s">
        <v>313</v>
      </c>
      <c r="C160" s="59" t="s">
        <v>27</v>
      </c>
      <c r="D160" s="60" t="s">
        <v>314</v>
      </c>
      <c r="E160" s="61">
        <f>+'[1]BASE MENSUAL 2022 PRESUP.'!L168</f>
        <v>43.38</v>
      </c>
      <c r="F160" s="62">
        <v>0</v>
      </c>
      <c r="G160" s="62">
        <v>0</v>
      </c>
      <c r="H160" s="62">
        <v>0</v>
      </c>
      <c r="I160" s="62">
        <v>86.96</v>
      </c>
      <c r="J160" s="62">
        <v>0</v>
      </c>
      <c r="K160" s="62">
        <v>0</v>
      </c>
      <c r="L160" s="62">
        <v>0</v>
      </c>
      <c r="M160" s="62">
        <v>0</v>
      </c>
      <c r="N160" s="62">
        <v>43.38</v>
      </c>
      <c r="O160" s="62">
        <v>42.12</v>
      </c>
      <c r="P160" s="62">
        <v>10.23</v>
      </c>
      <c r="Q160" s="62">
        <v>168.48</v>
      </c>
      <c r="AD160" s="8">
        <f>340.94*1.03</f>
        <v>351.16820000000001</v>
      </c>
      <c r="AE160" s="42">
        <f t="shared" si="53"/>
        <v>307.78820000000002</v>
      </c>
      <c r="AF160" s="38">
        <f t="shared" si="52"/>
        <v>43.38</v>
      </c>
    </row>
    <row r="161" spans="2:32" x14ac:dyDescent="0.2">
      <c r="B161" s="59" t="s">
        <v>315</v>
      </c>
      <c r="C161" s="59" t="s">
        <v>27</v>
      </c>
      <c r="D161" s="60" t="s">
        <v>316</v>
      </c>
      <c r="E161" s="61">
        <f>+'[1]BASE MENSUAL 2022 PRESUP.'!L169</f>
        <v>0</v>
      </c>
      <c r="F161" s="62">
        <v>0</v>
      </c>
      <c r="G161" s="62">
        <v>0</v>
      </c>
      <c r="H161" s="62">
        <v>0</v>
      </c>
      <c r="I161" s="62">
        <v>468.7</v>
      </c>
      <c r="J161" s="62">
        <v>0</v>
      </c>
      <c r="K161" s="62">
        <v>0</v>
      </c>
      <c r="L161" s="62">
        <v>0</v>
      </c>
      <c r="M161" s="62">
        <v>0</v>
      </c>
      <c r="N161" s="62">
        <v>159.94999999999999</v>
      </c>
      <c r="O161" s="62">
        <v>4862.82</v>
      </c>
      <c r="P161" s="62">
        <v>0</v>
      </c>
      <c r="Q161" s="62">
        <v>0</v>
      </c>
      <c r="AD161" s="8">
        <f>5331.52*1.03</f>
        <v>5491.4656000000004</v>
      </c>
      <c r="AE161" s="42">
        <f t="shared" si="53"/>
        <v>5491.4656000000004</v>
      </c>
      <c r="AF161" s="38">
        <f t="shared" si="52"/>
        <v>0</v>
      </c>
    </row>
    <row r="162" spans="2:32" x14ac:dyDescent="0.2">
      <c r="B162" s="59" t="s">
        <v>317</v>
      </c>
      <c r="C162" s="59" t="s">
        <v>27</v>
      </c>
      <c r="D162" s="60" t="s">
        <v>318</v>
      </c>
      <c r="E162" s="61">
        <f>+'[1]BASE MENSUAL 2022 PRESUP.'!L170</f>
        <v>75035.51999999999</v>
      </c>
      <c r="F162" s="62">
        <v>19538.77</v>
      </c>
      <c r="G162" s="62">
        <v>15434.08</v>
      </c>
      <c r="H162" s="62">
        <v>11713.91</v>
      </c>
      <c r="I162" s="62">
        <v>12496.56</v>
      </c>
      <c r="J162" s="62">
        <v>8205.65</v>
      </c>
      <c r="K162" s="62">
        <v>4905.22</v>
      </c>
      <c r="L162" s="62">
        <v>0</v>
      </c>
      <c r="M162" s="62">
        <v>3302.79</v>
      </c>
      <c r="N162" s="62">
        <v>24819.77</v>
      </c>
      <c r="O162" s="62">
        <v>2246.1799999999998</v>
      </c>
      <c r="P162" s="62">
        <v>9981.3700000000008</v>
      </c>
      <c r="Q162" s="62">
        <v>751.52</v>
      </c>
      <c r="AD162" s="8">
        <f>110093.03*1.03</f>
        <v>113395.82090000001</v>
      </c>
      <c r="AE162" s="42">
        <f t="shared" si="53"/>
        <v>38360.300900000017</v>
      </c>
      <c r="AF162" s="38">
        <f t="shared" si="52"/>
        <v>75035.51999999999</v>
      </c>
    </row>
    <row r="163" spans="2:32" x14ac:dyDescent="0.2">
      <c r="B163" s="48" t="s">
        <v>319</v>
      </c>
      <c r="C163" s="48"/>
      <c r="D163" s="50" t="s">
        <v>320</v>
      </c>
      <c r="E163" s="51">
        <f>+E164</f>
        <v>0</v>
      </c>
      <c r="F163" s="52">
        <f t="shared" ref="F163:Q163" si="54">+F164</f>
        <v>0</v>
      </c>
      <c r="G163" s="52">
        <f t="shared" si="54"/>
        <v>0</v>
      </c>
      <c r="H163" s="52">
        <f t="shared" si="54"/>
        <v>0</v>
      </c>
      <c r="I163" s="52">
        <f t="shared" si="54"/>
        <v>0</v>
      </c>
      <c r="J163" s="52">
        <f t="shared" si="54"/>
        <v>0</v>
      </c>
      <c r="K163" s="52">
        <f t="shared" si="54"/>
        <v>0</v>
      </c>
      <c r="L163" s="52">
        <f t="shared" si="54"/>
        <v>0</v>
      </c>
      <c r="M163" s="52">
        <f t="shared" si="54"/>
        <v>0</v>
      </c>
      <c r="N163" s="52">
        <f t="shared" si="54"/>
        <v>66.430000000000007</v>
      </c>
      <c r="O163" s="52">
        <f t="shared" si="54"/>
        <v>0</v>
      </c>
      <c r="P163" s="52">
        <f t="shared" si="54"/>
        <v>695.65</v>
      </c>
      <c r="Q163" s="52">
        <f t="shared" si="54"/>
        <v>1518.7</v>
      </c>
      <c r="AE163" s="42">
        <f t="shared" si="53"/>
        <v>0</v>
      </c>
      <c r="AF163" s="38"/>
    </row>
    <row r="164" spans="2:32" x14ac:dyDescent="0.2">
      <c r="B164" s="59" t="s">
        <v>321</v>
      </c>
      <c r="C164" s="59" t="s">
        <v>242</v>
      </c>
      <c r="D164" s="60" t="s">
        <v>322</v>
      </c>
      <c r="E164" s="61">
        <f>+'[1]BASE MENSUAL 2022 PRESUP.'!L172</f>
        <v>0</v>
      </c>
      <c r="F164" s="62">
        <v>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66.430000000000007</v>
      </c>
      <c r="O164" s="62">
        <v>0</v>
      </c>
      <c r="P164" s="62">
        <v>695.65</v>
      </c>
      <c r="Q164" s="62">
        <v>1518.7</v>
      </c>
      <c r="AD164" s="8">
        <f>2214.35*1.03</f>
        <v>2280.7804999999998</v>
      </c>
      <c r="AE164" s="42">
        <f t="shared" si="53"/>
        <v>2280.7804999999998</v>
      </c>
      <c r="AF164" s="38">
        <f>+E164</f>
        <v>0</v>
      </c>
    </row>
    <row r="165" spans="2:32" x14ac:dyDescent="0.2">
      <c r="B165" s="68" t="s">
        <v>323</v>
      </c>
      <c r="C165" s="68"/>
      <c r="D165" s="50" t="s">
        <v>324</v>
      </c>
      <c r="E165" s="51">
        <f>+E166</f>
        <v>0</v>
      </c>
      <c r="F165" s="52">
        <f t="shared" ref="F165:Q165" si="55">+F166</f>
        <v>2465.38</v>
      </c>
      <c r="G165" s="52">
        <f t="shared" si="55"/>
        <v>0</v>
      </c>
      <c r="H165" s="52">
        <f t="shared" si="55"/>
        <v>0</v>
      </c>
      <c r="I165" s="52">
        <f t="shared" si="55"/>
        <v>0</v>
      </c>
      <c r="J165" s="52">
        <f t="shared" si="55"/>
        <v>0</v>
      </c>
      <c r="K165" s="52">
        <f t="shared" si="55"/>
        <v>0</v>
      </c>
      <c r="L165" s="52">
        <f t="shared" si="55"/>
        <v>0</v>
      </c>
      <c r="M165" s="52">
        <f t="shared" si="55"/>
        <v>354.53</v>
      </c>
      <c r="N165" s="52">
        <f t="shared" si="55"/>
        <v>9352.119999999999</v>
      </c>
      <c r="O165" s="52">
        <f t="shared" si="55"/>
        <v>0</v>
      </c>
      <c r="P165" s="52">
        <f t="shared" si="55"/>
        <v>0</v>
      </c>
      <c r="Q165" s="52">
        <f t="shared" si="55"/>
        <v>0</v>
      </c>
      <c r="AE165" s="42">
        <f t="shared" si="53"/>
        <v>0</v>
      </c>
      <c r="AF165" s="38"/>
    </row>
    <row r="166" spans="2:32" x14ac:dyDescent="0.2">
      <c r="B166" s="59" t="s">
        <v>325</v>
      </c>
      <c r="C166" s="59" t="s">
        <v>27</v>
      </c>
      <c r="D166" s="60" t="s">
        <v>326</v>
      </c>
      <c r="E166" s="61">
        <f>+'[1]BASE MENSUAL 2022 PRESUP.'!L174</f>
        <v>0</v>
      </c>
      <c r="F166" s="62">
        <v>2465.38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354.53</v>
      </c>
      <c r="N166" s="62">
        <f>514.59+4116.13+4721.4</f>
        <v>9352.119999999999</v>
      </c>
      <c r="O166" s="62">
        <v>0</v>
      </c>
      <c r="P166" s="62">
        <v>0</v>
      </c>
      <c r="Q166" s="62">
        <v>0</v>
      </c>
      <c r="AD166" s="8">
        <f>11817.5*1.03</f>
        <v>12172.025</v>
      </c>
      <c r="AE166" s="42">
        <f t="shared" si="53"/>
        <v>12172.025</v>
      </c>
      <c r="AF166" s="38">
        <f>+E166</f>
        <v>0</v>
      </c>
    </row>
    <row r="167" spans="2:32" x14ac:dyDescent="0.2">
      <c r="B167" s="48" t="s">
        <v>327</v>
      </c>
      <c r="C167" s="48"/>
      <c r="D167" s="50" t="s">
        <v>328</v>
      </c>
      <c r="E167" s="51">
        <f t="shared" ref="E167:Q167" si="56">+E168+E178</f>
        <v>4516429.6400000006</v>
      </c>
      <c r="F167" s="52">
        <f t="shared" si="56"/>
        <v>474824.72</v>
      </c>
      <c r="G167" s="52">
        <f t="shared" si="56"/>
        <v>395971.32</v>
      </c>
      <c r="H167" s="52">
        <f t="shared" si="56"/>
        <v>441930.18999999994</v>
      </c>
      <c r="I167" s="52">
        <f t="shared" si="56"/>
        <v>492348.91000000003</v>
      </c>
      <c r="J167" s="52">
        <f t="shared" si="56"/>
        <v>544191.78000000014</v>
      </c>
      <c r="K167" s="52">
        <f t="shared" si="56"/>
        <v>544784.25</v>
      </c>
      <c r="L167" s="52">
        <f t="shared" si="56"/>
        <v>420994.2</v>
      </c>
      <c r="M167" s="52">
        <f t="shared" si="56"/>
        <v>426789.16</v>
      </c>
      <c r="N167" s="52">
        <f t="shared" si="56"/>
        <v>634396.99999999988</v>
      </c>
      <c r="O167" s="52">
        <f t="shared" si="56"/>
        <v>386588.36999999994</v>
      </c>
      <c r="P167" s="52">
        <f t="shared" si="56"/>
        <v>317882.62999999995</v>
      </c>
      <c r="Q167" s="52">
        <f t="shared" si="56"/>
        <v>367388.17999999993</v>
      </c>
      <c r="AE167" s="42">
        <f t="shared" si="53"/>
        <v>-4516429.6400000006</v>
      </c>
      <c r="AF167" s="38"/>
    </row>
    <row r="168" spans="2:32" x14ac:dyDescent="0.2">
      <c r="B168" s="48" t="s">
        <v>329</v>
      </c>
      <c r="C168" s="48"/>
      <c r="D168" s="50" t="s">
        <v>330</v>
      </c>
      <c r="E168" s="51">
        <f t="shared" ref="E168:Q168" si="57">SUM(E169:E177)</f>
        <v>4516429.6400000006</v>
      </c>
      <c r="F168" s="52">
        <f t="shared" si="57"/>
        <v>474824.72</v>
      </c>
      <c r="G168" s="52">
        <f t="shared" si="57"/>
        <v>395971.32</v>
      </c>
      <c r="H168" s="52">
        <f t="shared" si="57"/>
        <v>441930.18999999994</v>
      </c>
      <c r="I168" s="52">
        <f t="shared" si="57"/>
        <v>492348.91000000003</v>
      </c>
      <c r="J168" s="52">
        <f t="shared" si="57"/>
        <v>544191.78000000014</v>
      </c>
      <c r="K168" s="52">
        <f t="shared" si="57"/>
        <v>544784.25</v>
      </c>
      <c r="L168" s="52">
        <f t="shared" si="57"/>
        <v>420994.2</v>
      </c>
      <c r="M168" s="52">
        <f t="shared" si="57"/>
        <v>426789.16</v>
      </c>
      <c r="N168" s="52">
        <f t="shared" si="57"/>
        <v>634396.99999999988</v>
      </c>
      <c r="O168" s="52">
        <f t="shared" si="57"/>
        <v>386588.36999999994</v>
      </c>
      <c r="P168" s="52">
        <f t="shared" si="57"/>
        <v>317882.62999999995</v>
      </c>
      <c r="Q168" s="52">
        <f t="shared" si="57"/>
        <v>367388.17999999993</v>
      </c>
      <c r="AE168" s="42">
        <f t="shared" si="53"/>
        <v>-4516429.6400000006</v>
      </c>
      <c r="AF168" s="38"/>
    </row>
    <row r="169" spans="2:32" x14ac:dyDescent="0.2">
      <c r="B169" s="59" t="s">
        <v>331</v>
      </c>
      <c r="C169" s="59" t="s">
        <v>332</v>
      </c>
      <c r="D169" s="60" t="s">
        <v>333</v>
      </c>
      <c r="E169" s="61">
        <f>+'[1]BASE MENSUAL 2022 PRESUP.'!L177</f>
        <v>3631500.8000000003</v>
      </c>
      <c r="F169" s="62">
        <v>386880.02</v>
      </c>
      <c r="G169" s="62">
        <v>323979.08</v>
      </c>
      <c r="H169" s="62">
        <v>352930.41</v>
      </c>
      <c r="I169" s="62">
        <v>404826.01</v>
      </c>
      <c r="J169" s="62">
        <v>448799.7</v>
      </c>
      <c r="K169" s="62">
        <v>451969.11</v>
      </c>
      <c r="L169" s="62">
        <v>415429.85</v>
      </c>
      <c r="M169" s="62">
        <v>403329.95</v>
      </c>
      <c r="N169" s="62">
        <v>400000</v>
      </c>
      <c r="O169" s="62">
        <v>324358.32</v>
      </c>
      <c r="P169" s="62">
        <v>262300</v>
      </c>
      <c r="Q169" s="62">
        <v>307000</v>
      </c>
      <c r="AD169" s="8">
        <f>4261182.22*1.03</f>
        <v>4389017.6865999997</v>
      </c>
      <c r="AE169" s="42">
        <f t="shared" si="53"/>
        <v>757516.88659999939</v>
      </c>
      <c r="AF169" s="38">
        <f t="shared" ref="AF169:AF177" si="58">+E169</f>
        <v>3631500.8000000003</v>
      </c>
    </row>
    <row r="170" spans="2:32" x14ac:dyDescent="0.2">
      <c r="B170" s="59" t="s">
        <v>334</v>
      </c>
      <c r="C170" s="59" t="s">
        <v>332</v>
      </c>
      <c r="D170" s="60" t="s">
        <v>335</v>
      </c>
      <c r="E170" s="61">
        <f>+'[1]BASE MENSUAL 2022 PRESUP.'!L178</f>
        <v>123646.68000000002</v>
      </c>
      <c r="F170" s="62">
        <v>15552.61</v>
      </c>
      <c r="G170" s="62">
        <v>13738.52</v>
      </c>
      <c r="H170" s="62">
        <v>11207.74</v>
      </c>
      <c r="I170" s="62">
        <v>17353.919999999998</v>
      </c>
      <c r="J170" s="62">
        <v>14461.6</v>
      </c>
      <c r="K170" s="62">
        <v>14823.14</v>
      </c>
      <c r="L170" s="62">
        <v>5018.34</v>
      </c>
      <c r="M170" s="62">
        <v>769.24</v>
      </c>
      <c r="N170" s="62">
        <v>46277.120000000003</v>
      </c>
      <c r="O170" s="62">
        <v>13455.79</v>
      </c>
      <c r="P170" s="62">
        <v>11637.44</v>
      </c>
      <c r="Q170" s="62">
        <v>8000.74</v>
      </c>
      <c r="AD170" s="8">
        <f>167277.86*1.03</f>
        <v>172296.19579999999</v>
      </c>
      <c r="AE170" s="42">
        <f t="shared" si="53"/>
        <v>48649.515799999965</v>
      </c>
      <c r="AF170" s="38">
        <f t="shared" si="58"/>
        <v>123646.68000000002</v>
      </c>
    </row>
    <row r="171" spans="2:32" x14ac:dyDescent="0.2">
      <c r="B171" s="59" t="s">
        <v>336</v>
      </c>
      <c r="C171" s="59" t="s">
        <v>332</v>
      </c>
      <c r="D171" s="60" t="s">
        <v>337</v>
      </c>
      <c r="E171" s="61">
        <f>+'[1]BASE MENSUAL 2022 PRESUP.'!L179</f>
        <v>387964.92000000004</v>
      </c>
      <c r="F171" s="62">
        <v>39461.129999999997</v>
      </c>
      <c r="G171" s="62">
        <v>24922.799999999999</v>
      </c>
      <c r="H171" s="62">
        <v>39045.72</v>
      </c>
      <c r="I171" s="62">
        <v>38630.339999999997</v>
      </c>
      <c r="J171" s="62">
        <v>40707.24</v>
      </c>
      <c r="K171" s="62">
        <v>40707.24</v>
      </c>
      <c r="L171" s="62">
        <v>0</v>
      </c>
      <c r="M171" s="62">
        <v>12623.46</v>
      </c>
      <c r="N171" s="62">
        <v>109660.32</v>
      </c>
      <c r="O171" s="62">
        <v>29077.3</v>
      </c>
      <c r="P171" s="62">
        <v>22015.67</v>
      </c>
      <c r="Q171" s="62">
        <v>36554.32</v>
      </c>
      <c r="AD171" s="8">
        <f>420782.08*1.03</f>
        <v>433405.54240000003</v>
      </c>
      <c r="AE171" s="42">
        <f t="shared" si="53"/>
        <v>45440.622399999993</v>
      </c>
      <c r="AF171" s="38">
        <f t="shared" si="58"/>
        <v>387964.92000000004</v>
      </c>
    </row>
    <row r="172" spans="2:32" x14ac:dyDescent="0.2">
      <c r="B172" s="59" t="s">
        <v>338</v>
      </c>
      <c r="C172" s="59" t="s">
        <v>332</v>
      </c>
      <c r="D172" s="60" t="s">
        <v>339</v>
      </c>
      <c r="E172" s="61">
        <f>+'[1]BASE MENSUAL 2022 PRESUP.'!L180</f>
        <v>23538.879999999997</v>
      </c>
      <c r="F172" s="62">
        <v>4153.92</v>
      </c>
      <c r="G172" s="62">
        <v>3807.76</v>
      </c>
      <c r="H172" s="62">
        <v>3461.6</v>
      </c>
      <c r="I172" s="62">
        <v>4153.92</v>
      </c>
      <c r="J172" s="62">
        <v>3807.76</v>
      </c>
      <c r="K172" s="62">
        <v>3461.6</v>
      </c>
      <c r="L172" s="62">
        <v>0</v>
      </c>
      <c r="M172" s="62">
        <v>1100.79</v>
      </c>
      <c r="N172" s="62">
        <v>4846.24</v>
      </c>
      <c r="O172" s="62">
        <v>3807.76</v>
      </c>
      <c r="P172" s="62">
        <v>1730.8</v>
      </c>
      <c r="Q172" s="62">
        <v>3461.6</v>
      </c>
      <c r="AD172" s="8">
        <f>36692.96*1.03</f>
        <v>37793.748800000001</v>
      </c>
      <c r="AE172" s="42">
        <f t="shared" si="53"/>
        <v>14254.868800000004</v>
      </c>
      <c r="AF172" s="38">
        <f t="shared" si="58"/>
        <v>23538.879999999997</v>
      </c>
    </row>
    <row r="173" spans="2:32" x14ac:dyDescent="0.2">
      <c r="B173" s="59" t="s">
        <v>340</v>
      </c>
      <c r="C173" s="59" t="s">
        <v>332</v>
      </c>
      <c r="D173" s="60" t="s">
        <v>341</v>
      </c>
      <c r="E173" s="61">
        <f>+'[1]BASE MENSUAL 2022 PRESUP.'!L181</f>
        <v>180800</v>
      </c>
      <c r="F173" s="62">
        <v>16000</v>
      </c>
      <c r="G173" s="62">
        <v>19600</v>
      </c>
      <c r="H173" s="62">
        <v>25200</v>
      </c>
      <c r="I173" s="62">
        <v>20000</v>
      </c>
      <c r="J173" s="62">
        <v>26000</v>
      </c>
      <c r="K173" s="62">
        <v>24400</v>
      </c>
      <c r="L173" s="62">
        <v>0</v>
      </c>
      <c r="M173" s="62">
        <v>6228</v>
      </c>
      <c r="N173" s="62">
        <v>47200</v>
      </c>
      <c r="O173" s="62">
        <v>9200</v>
      </c>
      <c r="P173" s="62">
        <v>12000</v>
      </c>
      <c r="Q173" s="62">
        <v>8000</v>
      </c>
      <c r="AD173" s="8">
        <f>207600*1.03</f>
        <v>213828</v>
      </c>
      <c r="AE173" s="42">
        <f t="shared" si="53"/>
        <v>33028</v>
      </c>
      <c r="AF173" s="38">
        <f t="shared" si="58"/>
        <v>180800</v>
      </c>
    </row>
    <row r="174" spans="2:32" x14ac:dyDescent="0.2">
      <c r="B174" s="59" t="s">
        <v>342</v>
      </c>
      <c r="C174" s="59" t="s">
        <v>332</v>
      </c>
      <c r="D174" s="60" t="s">
        <v>343</v>
      </c>
      <c r="E174" s="61">
        <f>+'[1]BASE MENSUAL 2022 PRESUP.'!L182</f>
        <v>15923.359999999999</v>
      </c>
      <c r="F174" s="62">
        <v>2423.12</v>
      </c>
      <c r="G174" s="62">
        <v>1038.48</v>
      </c>
      <c r="H174" s="62">
        <v>2423.12</v>
      </c>
      <c r="I174" s="62">
        <v>2076.96</v>
      </c>
      <c r="J174" s="62">
        <v>1730.8</v>
      </c>
      <c r="K174" s="62">
        <v>1384.64</v>
      </c>
      <c r="L174" s="62">
        <v>546.01</v>
      </c>
      <c r="M174" s="62">
        <v>200</v>
      </c>
      <c r="N174" s="62">
        <v>3115.44</v>
      </c>
      <c r="O174" s="62">
        <v>1038.48</v>
      </c>
      <c r="P174" s="62">
        <v>2423.12</v>
      </c>
      <c r="Q174" s="62">
        <v>346.16</v>
      </c>
      <c r="AD174" s="8">
        <f>18200.32*1.03</f>
        <v>18746.329600000001</v>
      </c>
      <c r="AE174" s="42">
        <f t="shared" si="53"/>
        <v>2822.9696000000022</v>
      </c>
      <c r="AF174" s="38">
        <f t="shared" si="58"/>
        <v>15923.359999999999</v>
      </c>
    </row>
    <row r="175" spans="2:32" x14ac:dyDescent="0.2">
      <c r="B175" s="59" t="s">
        <v>344</v>
      </c>
      <c r="C175" s="59" t="s">
        <v>332</v>
      </c>
      <c r="D175" s="60" t="s">
        <v>345</v>
      </c>
      <c r="E175" s="61">
        <f>+'[1]BASE MENSUAL 2022 PRESUP.'!L183</f>
        <v>83655</v>
      </c>
      <c r="F175" s="62">
        <v>5353.92</v>
      </c>
      <c r="G175" s="62">
        <v>4684.68</v>
      </c>
      <c r="H175" s="62">
        <v>4461.6000000000004</v>
      </c>
      <c r="I175" s="62">
        <v>4907.76</v>
      </c>
      <c r="J175" s="62">
        <v>4684.68</v>
      </c>
      <c r="K175" s="62">
        <v>4638.5200000000004</v>
      </c>
      <c r="L175" s="62">
        <v>0</v>
      </c>
      <c r="M175" s="62">
        <v>1553.72</v>
      </c>
      <c r="N175" s="62">
        <v>13607.88</v>
      </c>
      <c r="O175" s="62">
        <v>4050.72</v>
      </c>
      <c r="P175" s="62">
        <v>3375.6</v>
      </c>
      <c r="Q175" s="62">
        <v>2025.36</v>
      </c>
      <c r="AD175" s="8">
        <f>51790.72*1.03</f>
        <v>53344.441600000006</v>
      </c>
      <c r="AE175" s="42">
        <f t="shared" si="53"/>
        <v>-30310.558399999994</v>
      </c>
      <c r="AF175" s="38">
        <f t="shared" si="58"/>
        <v>83655</v>
      </c>
    </row>
    <row r="176" spans="2:32" x14ac:dyDescent="0.2">
      <c r="B176" s="59" t="s">
        <v>346</v>
      </c>
      <c r="C176" s="59" t="s">
        <v>332</v>
      </c>
      <c r="D176" s="60" t="s">
        <v>347</v>
      </c>
      <c r="E176" s="61">
        <f>+'[1]BASE MENSUAL 2022 PRESUP.'!L184</f>
        <v>46600</v>
      </c>
      <c r="F176" s="62">
        <v>600</v>
      </c>
      <c r="G176" s="62">
        <v>600</v>
      </c>
      <c r="H176" s="62">
        <v>200</v>
      </c>
      <c r="I176" s="62">
        <v>400</v>
      </c>
      <c r="J176" s="62">
        <v>0</v>
      </c>
      <c r="K176" s="62">
        <v>0</v>
      </c>
      <c r="L176" s="62">
        <v>0</v>
      </c>
      <c r="M176" s="62">
        <v>0</v>
      </c>
      <c r="N176" s="62">
        <v>890</v>
      </c>
      <c r="O176" s="62">
        <v>0</v>
      </c>
      <c r="P176" s="62">
        <v>200</v>
      </c>
      <c r="Q176" s="62">
        <v>200</v>
      </c>
      <c r="AD176" s="8">
        <f>3000*1.03</f>
        <v>3090</v>
      </c>
      <c r="AE176" s="42">
        <f t="shared" si="53"/>
        <v>-43510</v>
      </c>
      <c r="AF176" s="38">
        <f t="shared" si="58"/>
        <v>46600</v>
      </c>
    </row>
    <row r="177" spans="2:32" x14ac:dyDescent="0.2">
      <c r="B177" s="59" t="s">
        <v>348</v>
      </c>
      <c r="C177" s="59" t="s">
        <v>332</v>
      </c>
      <c r="D177" s="60" t="s">
        <v>349</v>
      </c>
      <c r="E177" s="61">
        <f>+'[1]BASE MENSUAL 2022 PRESUP.'!L185</f>
        <v>22800</v>
      </c>
      <c r="F177" s="62">
        <v>4400</v>
      </c>
      <c r="G177" s="62">
        <v>3600</v>
      </c>
      <c r="H177" s="62">
        <v>3000</v>
      </c>
      <c r="I177" s="62">
        <v>0</v>
      </c>
      <c r="J177" s="62">
        <v>4000</v>
      </c>
      <c r="K177" s="62">
        <v>3400</v>
      </c>
      <c r="L177" s="62">
        <v>0</v>
      </c>
      <c r="M177" s="62">
        <v>984</v>
      </c>
      <c r="N177" s="62">
        <v>8800</v>
      </c>
      <c r="O177" s="62">
        <v>1600</v>
      </c>
      <c r="P177" s="62">
        <v>2200</v>
      </c>
      <c r="Q177" s="62">
        <v>1800</v>
      </c>
      <c r="AD177" s="8">
        <f>32800*1.03</f>
        <v>33784</v>
      </c>
      <c r="AE177" s="42">
        <f t="shared" si="53"/>
        <v>10984</v>
      </c>
      <c r="AF177" s="38">
        <f t="shared" si="58"/>
        <v>22800</v>
      </c>
    </row>
    <row r="178" spans="2:32" x14ac:dyDescent="0.2">
      <c r="B178" s="48" t="s">
        <v>350</v>
      </c>
      <c r="C178" s="48"/>
      <c r="D178" s="50" t="s">
        <v>351</v>
      </c>
      <c r="E178" s="51">
        <f>SUM(E179:E183)</f>
        <v>0</v>
      </c>
      <c r="F178" s="52">
        <f t="shared" ref="F178:R178" si="59">SUM(F179:F183)</f>
        <v>0</v>
      </c>
      <c r="G178" s="52">
        <f t="shared" si="59"/>
        <v>0</v>
      </c>
      <c r="H178" s="52">
        <f t="shared" si="59"/>
        <v>0</v>
      </c>
      <c r="I178" s="52">
        <f t="shared" si="59"/>
        <v>0</v>
      </c>
      <c r="J178" s="52">
        <f t="shared" si="59"/>
        <v>0</v>
      </c>
      <c r="K178" s="52">
        <f t="shared" si="59"/>
        <v>0</v>
      </c>
      <c r="L178" s="52">
        <f t="shared" si="59"/>
        <v>0</v>
      </c>
      <c r="M178" s="52">
        <f t="shared" si="59"/>
        <v>0</v>
      </c>
      <c r="N178" s="52">
        <f t="shared" si="59"/>
        <v>0</v>
      </c>
      <c r="O178" s="52">
        <f t="shared" si="59"/>
        <v>0</v>
      </c>
      <c r="P178" s="52">
        <f t="shared" si="59"/>
        <v>0</v>
      </c>
      <c r="Q178" s="52">
        <f t="shared" si="59"/>
        <v>0</v>
      </c>
      <c r="R178" s="65">
        <f t="shared" si="59"/>
        <v>0</v>
      </c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8">
        <f>76685.29*1.03</f>
        <v>78985.848700000002</v>
      </c>
      <c r="AE178" s="42">
        <f t="shared" si="53"/>
        <v>78985.848700000002</v>
      </c>
      <c r="AF178" s="38"/>
    </row>
    <row r="179" spans="2:32" x14ac:dyDescent="0.2">
      <c r="B179" s="59" t="s">
        <v>352</v>
      </c>
      <c r="C179" s="59" t="s">
        <v>332</v>
      </c>
      <c r="D179" s="60" t="s">
        <v>353</v>
      </c>
      <c r="E179" s="61">
        <f>+'[1]BASE MENSUAL 2022 PRESUP.'!L187</f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AE179" s="42">
        <f t="shared" si="53"/>
        <v>0</v>
      </c>
      <c r="AF179" s="38">
        <f>+E179</f>
        <v>0</v>
      </c>
    </row>
    <row r="180" spans="2:32" x14ac:dyDescent="0.2">
      <c r="B180" s="59" t="s">
        <v>354</v>
      </c>
      <c r="C180" s="59" t="s">
        <v>332</v>
      </c>
      <c r="D180" s="60" t="s">
        <v>355</v>
      </c>
      <c r="E180" s="61">
        <f>+'[1]BASE MENSUAL 2022 PRESUP.'!L188</f>
        <v>0</v>
      </c>
      <c r="F180" s="62">
        <v>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  <c r="Q180" s="62">
        <v>0</v>
      </c>
      <c r="AE180" s="42">
        <f t="shared" si="53"/>
        <v>0</v>
      </c>
      <c r="AF180" s="38">
        <f>+E180</f>
        <v>0</v>
      </c>
    </row>
    <row r="181" spans="2:32" x14ac:dyDescent="0.2">
      <c r="B181" s="59" t="s">
        <v>356</v>
      </c>
      <c r="C181" s="59" t="s">
        <v>332</v>
      </c>
      <c r="D181" s="60" t="s">
        <v>357</v>
      </c>
      <c r="E181" s="61">
        <f>+'[1]BASE MENSUAL 2022 PRESUP.'!L189</f>
        <v>0</v>
      </c>
      <c r="F181" s="62">
        <v>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  <c r="Q181" s="62">
        <v>0</v>
      </c>
      <c r="AE181" s="42">
        <f t="shared" si="53"/>
        <v>0</v>
      </c>
      <c r="AF181" s="38">
        <f>+E181</f>
        <v>0</v>
      </c>
    </row>
    <row r="182" spans="2:32" x14ac:dyDescent="0.2">
      <c r="B182" s="59" t="s">
        <v>358</v>
      </c>
      <c r="C182" s="59" t="s">
        <v>332</v>
      </c>
      <c r="D182" s="60" t="s">
        <v>359</v>
      </c>
      <c r="E182" s="61">
        <f>+'[1]BASE MENSUAL 2022 PRESUP.'!L190</f>
        <v>0</v>
      </c>
      <c r="F182" s="62">
        <v>0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  <c r="Q182" s="62">
        <v>0</v>
      </c>
      <c r="AE182" s="42">
        <f t="shared" si="53"/>
        <v>0</v>
      </c>
      <c r="AF182" s="38">
        <f>+E182</f>
        <v>0</v>
      </c>
    </row>
    <row r="183" spans="2:32" x14ac:dyDescent="0.2">
      <c r="B183" s="59" t="s">
        <v>360</v>
      </c>
      <c r="C183" s="59" t="s">
        <v>332</v>
      </c>
      <c r="D183" s="60" t="s">
        <v>361</v>
      </c>
      <c r="E183" s="61">
        <f>+'[1]BASE MENSUAL 2022 PRESUP.'!L191</f>
        <v>0</v>
      </c>
      <c r="F183" s="62">
        <v>0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  <c r="Q183" s="62">
        <v>0</v>
      </c>
      <c r="AE183" s="42">
        <f t="shared" si="53"/>
        <v>0</v>
      </c>
      <c r="AF183" s="38">
        <f>+E183</f>
        <v>0</v>
      </c>
    </row>
    <row r="184" spans="2:32" x14ac:dyDescent="0.2">
      <c r="B184" s="48" t="s">
        <v>362</v>
      </c>
      <c r="C184" s="48"/>
      <c r="D184" s="50" t="s">
        <v>363</v>
      </c>
      <c r="E184" s="51">
        <f>+E185+E191+E197</f>
        <v>34254.369999999995</v>
      </c>
      <c r="F184" s="52">
        <f t="shared" ref="F184:Q184" si="60">+F185+F191+F197</f>
        <v>26645.309999999998</v>
      </c>
      <c r="G184" s="52">
        <f t="shared" si="60"/>
        <v>3671.1299999999997</v>
      </c>
      <c r="H184" s="52">
        <f t="shared" si="60"/>
        <v>8601.0299999999988</v>
      </c>
      <c r="I184" s="52">
        <f t="shared" si="60"/>
        <v>0</v>
      </c>
      <c r="J184" s="52">
        <f t="shared" si="60"/>
        <v>0</v>
      </c>
      <c r="K184" s="52">
        <f t="shared" si="60"/>
        <v>1922.6</v>
      </c>
      <c r="L184" s="52">
        <f t="shared" si="60"/>
        <v>0</v>
      </c>
      <c r="M184" s="52">
        <f t="shared" si="60"/>
        <v>378.05</v>
      </c>
      <c r="N184" s="52">
        <f t="shared" si="60"/>
        <v>737.77</v>
      </c>
      <c r="O184" s="52">
        <f t="shared" si="60"/>
        <v>1547.15</v>
      </c>
      <c r="P184" s="52">
        <f t="shared" si="60"/>
        <v>2588.34</v>
      </c>
      <c r="Q184" s="52">
        <f t="shared" si="60"/>
        <v>3795.18</v>
      </c>
      <c r="AE184" s="42">
        <f t="shared" si="53"/>
        <v>-34254.369999999995</v>
      </c>
      <c r="AF184" s="38"/>
    </row>
    <row r="185" spans="2:32" x14ac:dyDescent="0.2">
      <c r="B185" s="48" t="s">
        <v>364</v>
      </c>
      <c r="C185" s="48"/>
      <c r="D185" s="50" t="s">
        <v>365</v>
      </c>
      <c r="E185" s="51">
        <f>SUM(E186:E190)</f>
        <v>20467.3</v>
      </c>
      <c r="F185" s="52">
        <f t="shared" ref="F185:Q185" si="61">SUM(F186:F190)</f>
        <v>16185.9</v>
      </c>
      <c r="G185" s="52">
        <f t="shared" si="61"/>
        <v>2816.7299999999996</v>
      </c>
      <c r="H185" s="52">
        <f t="shared" si="61"/>
        <v>0</v>
      </c>
      <c r="I185" s="52">
        <f t="shared" si="61"/>
        <v>0</v>
      </c>
      <c r="J185" s="52">
        <f t="shared" si="61"/>
        <v>0</v>
      </c>
      <c r="K185" s="52">
        <f t="shared" si="61"/>
        <v>0</v>
      </c>
      <c r="L185" s="52">
        <f t="shared" si="61"/>
        <v>0</v>
      </c>
      <c r="M185" s="52">
        <f t="shared" si="61"/>
        <v>0</v>
      </c>
      <c r="N185" s="52">
        <f t="shared" si="61"/>
        <v>737.77</v>
      </c>
      <c r="O185" s="52">
        <f t="shared" si="61"/>
        <v>1547.15</v>
      </c>
      <c r="P185" s="52">
        <f t="shared" si="61"/>
        <v>2588.34</v>
      </c>
      <c r="Q185" s="52">
        <f t="shared" si="61"/>
        <v>3795.18</v>
      </c>
      <c r="AE185" s="42">
        <f t="shared" si="53"/>
        <v>-20467.3</v>
      </c>
      <c r="AF185" s="38"/>
    </row>
    <row r="186" spans="2:32" x14ac:dyDescent="0.2">
      <c r="B186" s="59" t="s">
        <v>366</v>
      </c>
      <c r="C186" s="59" t="s">
        <v>27</v>
      </c>
      <c r="D186" s="60" t="s">
        <v>367</v>
      </c>
      <c r="E186" s="61">
        <f>+'[1]BASE MENSUAL 2022 PRESUP.'!L194</f>
        <v>3873.24</v>
      </c>
      <c r="F186" s="62">
        <v>3491.66</v>
      </c>
      <c r="G186" s="62">
        <v>591.42999999999995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360.41</v>
      </c>
      <c r="O186" s="62">
        <v>1547.15</v>
      </c>
      <c r="P186" s="62">
        <v>2588.34</v>
      </c>
      <c r="Q186" s="62">
        <v>3795.18</v>
      </c>
      <c r="AD186" s="8">
        <f>12013.76*1.03</f>
        <v>12374.1728</v>
      </c>
      <c r="AE186" s="42">
        <f t="shared" si="53"/>
        <v>8500.9328000000005</v>
      </c>
      <c r="AF186" s="38">
        <f>+E186</f>
        <v>3873.24</v>
      </c>
    </row>
    <row r="187" spans="2:32" x14ac:dyDescent="0.2">
      <c r="B187" s="59" t="s">
        <v>368</v>
      </c>
      <c r="C187" s="59" t="s">
        <v>27</v>
      </c>
      <c r="D187" s="60" t="s">
        <v>369</v>
      </c>
      <c r="E187" s="61">
        <f>+'[1]BASE MENSUAL 2022 PRESUP.'!L195</f>
        <v>278.18</v>
      </c>
      <c r="F187" s="62">
        <f>278.18+8.35</f>
        <v>286.53000000000003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  <c r="Q187" s="62">
        <v>0</v>
      </c>
      <c r="AD187" s="8">
        <f>278.18*1.03</f>
        <v>286.52539999999999</v>
      </c>
      <c r="AE187" s="42">
        <f t="shared" si="53"/>
        <v>8.3453999999999837</v>
      </c>
      <c r="AF187" s="38">
        <f>+E187</f>
        <v>278.18</v>
      </c>
    </row>
    <row r="188" spans="2:32" x14ac:dyDescent="0.2">
      <c r="B188" s="59" t="s">
        <v>370</v>
      </c>
      <c r="C188" s="59" t="s">
        <v>27</v>
      </c>
      <c r="D188" s="60" t="s">
        <v>371</v>
      </c>
      <c r="E188" s="61">
        <f>+'[1]BASE MENSUAL 2022 PRESUP.'!L196</f>
        <v>9066.9</v>
      </c>
      <c r="F188" s="62">
        <v>10928.3</v>
      </c>
      <c r="G188" s="62">
        <v>1650.37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377.36</v>
      </c>
      <c r="O188" s="62">
        <v>0</v>
      </c>
      <c r="P188" s="62">
        <v>0</v>
      </c>
      <c r="Q188" s="62">
        <v>0</v>
      </c>
      <c r="AD188" s="8">
        <f>12578.67*1.03</f>
        <v>12956.0301</v>
      </c>
      <c r="AE188" s="42">
        <f t="shared" si="53"/>
        <v>3889.1301000000003</v>
      </c>
      <c r="AF188" s="38">
        <f>+E188</f>
        <v>9066.9</v>
      </c>
    </row>
    <row r="189" spans="2:32" x14ac:dyDescent="0.2">
      <c r="B189" s="59" t="s">
        <v>372</v>
      </c>
      <c r="C189" s="59" t="s">
        <v>27</v>
      </c>
      <c r="D189" s="60" t="s">
        <v>373</v>
      </c>
      <c r="E189" s="61">
        <f>+'[1]BASE MENSUAL 2022 PRESUP.'!L197</f>
        <v>4364.42</v>
      </c>
      <c r="F189" s="62">
        <v>0</v>
      </c>
      <c r="G189" s="62">
        <f>558.18+16.75</f>
        <v>574.92999999999995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AD189" s="8">
        <f>558.18*1.03</f>
        <v>574.92539999999997</v>
      </c>
      <c r="AE189" s="42">
        <f t="shared" si="53"/>
        <v>-3789.4946</v>
      </c>
      <c r="AF189" s="38">
        <f>+E189</f>
        <v>4364.42</v>
      </c>
    </row>
    <row r="190" spans="2:32" x14ac:dyDescent="0.2">
      <c r="B190" s="59" t="s">
        <v>374</v>
      </c>
      <c r="C190" s="59" t="s">
        <v>27</v>
      </c>
      <c r="D190" s="60" t="s">
        <v>375</v>
      </c>
      <c r="E190" s="61">
        <f>+'[1]BASE MENSUAL 2022 PRESUP.'!L198</f>
        <v>2884.56</v>
      </c>
      <c r="F190" s="62">
        <f>1436.32+43.09</f>
        <v>1479.4099999999999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  <c r="Q190" s="62">
        <v>0</v>
      </c>
      <c r="AD190" s="8">
        <f>1436.32*1.03</f>
        <v>1479.4096</v>
      </c>
      <c r="AE190" s="42">
        <f t="shared" si="53"/>
        <v>-1405.1504</v>
      </c>
      <c r="AF190" s="38">
        <f>+E190</f>
        <v>2884.56</v>
      </c>
    </row>
    <row r="191" spans="2:32" x14ac:dyDescent="0.2">
      <c r="B191" s="48" t="s">
        <v>376</v>
      </c>
      <c r="C191" s="48"/>
      <c r="D191" s="50" t="s">
        <v>377</v>
      </c>
      <c r="E191" s="51">
        <f>SUM(E192:E196)</f>
        <v>13787.07</v>
      </c>
      <c r="F191" s="52">
        <f t="shared" ref="F191:Q191" si="62">SUM(F192:F195)</f>
        <v>10459.41</v>
      </c>
      <c r="G191" s="52">
        <f t="shared" si="62"/>
        <v>854.4</v>
      </c>
      <c r="H191" s="52">
        <f t="shared" si="62"/>
        <v>8601.0299999999988</v>
      </c>
      <c r="I191" s="52">
        <f t="shared" si="62"/>
        <v>0</v>
      </c>
      <c r="J191" s="52">
        <f t="shared" si="62"/>
        <v>0</v>
      </c>
      <c r="K191" s="52">
        <f t="shared" si="62"/>
        <v>1922.6</v>
      </c>
      <c r="L191" s="52">
        <f t="shared" si="62"/>
        <v>0</v>
      </c>
      <c r="M191" s="52">
        <f t="shared" si="62"/>
        <v>378.05</v>
      </c>
      <c r="N191" s="52">
        <f t="shared" si="62"/>
        <v>0</v>
      </c>
      <c r="O191" s="52">
        <f t="shared" si="62"/>
        <v>0</v>
      </c>
      <c r="P191" s="52">
        <f t="shared" si="62"/>
        <v>0</v>
      </c>
      <c r="Q191" s="52">
        <f t="shared" si="62"/>
        <v>0</v>
      </c>
      <c r="AE191" s="42">
        <f t="shared" si="53"/>
        <v>-13787.07</v>
      </c>
      <c r="AF191" s="38"/>
    </row>
    <row r="192" spans="2:32" x14ac:dyDescent="0.2">
      <c r="B192" s="59" t="s">
        <v>378</v>
      </c>
      <c r="C192" s="59" t="s">
        <v>27</v>
      </c>
      <c r="D192" s="60" t="s">
        <v>379</v>
      </c>
      <c r="E192" s="61">
        <f>+'[1]BASE MENSUAL 2022 PRESUP.'!L200</f>
        <v>0</v>
      </c>
      <c r="F192" s="62">
        <v>7207.44</v>
      </c>
      <c r="G192" s="62">
        <v>0</v>
      </c>
      <c r="H192" s="62">
        <v>5394.08</v>
      </c>
      <c r="I192" s="62">
        <v>0</v>
      </c>
      <c r="J192" s="62">
        <v>0</v>
      </c>
      <c r="K192" s="62">
        <v>0</v>
      </c>
      <c r="L192" s="62">
        <v>0</v>
      </c>
      <c r="M192" s="62">
        <v>378.05</v>
      </c>
      <c r="N192" s="62">
        <v>0</v>
      </c>
      <c r="O192" s="62">
        <v>0</v>
      </c>
      <c r="P192" s="62">
        <v>0</v>
      </c>
      <c r="Q192" s="62">
        <v>0</v>
      </c>
      <c r="AD192" s="8">
        <f>12601.52*1.03</f>
        <v>12979.5656</v>
      </c>
      <c r="AE192" s="42">
        <f t="shared" si="53"/>
        <v>12979.5656</v>
      </c>
      <c r="AF192" s="38">
        <f>+E192</f>
        <v>0</v>
      </c>
    </row>
    <row r="193" spans="2:32" x14ac:dyDescent="0.2">
      <c r="B193" s="59" t="s">
        <v>380</v>
      </c>
      <c r="C193" s="59" t="s">
        <v>27</v>
      </c>
      <c r="D193" s="60" t="s">
        <v>381</v>
      </c>
      <c r="E193" s="61">
        <f>+'[1]BASE MENSUAL 2022 PRESUP.'!L201</f>
        <v>8878.68</v>
      </c>
      <c r="F193" s="62">
        <v>0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AE193" s="42">
        <f t="shared" si="53"/>
        <v>-8878.68</v>
      </c>
      <c r="AF193" s="38">
        <f>+E193</f>
        <v>8878.68</v>
      </c>
    </row>
    <row r="194" spans="2:32" x14ac:dyDescent="0.2">
      <c r="B194" s="59" t="s">
        <v>382</v>
      </c>
      <c r="C194" s="59" t="s">
        <v>27</v>
      </c>
      <c r="D194" s="60" t="s">
        <v>383</v>
      </c>
      <c r="E194" s="61">
        <f>+'[1]BASE MENSUAL 2022 PRESUP.'!L202</f>
        <v>1165.0999999999999</v>
      </c>
      <c r="F194" s="62">
        <v>3251.97</v>
      </c>
      <c r="G194" s="62">
        <f>641.39+213.01</f>
        <v>854.4</v>
      </c>
      <c r="H194" s="62">
        <v>3206.95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AD194" s="8">
        <f>7100.31*1.03</f>
        <v>7313.319300000001</v>
      </c>
      <c r="AE194" s="42">
        <f t="shared" si="53"/>
        <v>6148.2193000000007</v>
      </c>
      <c r="AF194" s="38">
        <f>+E194</f>
        <v>1165.0999999999999</v>
      </c>
    </row>
    <row r="195" spans="2:32" x14ac:dyDescent="0.2">
      <c r="B195" s="59" t="s">
        <v>384</v>
      </c>
      <c r="C195" s="59" t="s">
        <v>27</v>
      </c>
      <c r="D195" s="60" t="s">
        <v>385</v>
      </c>
      <c r="E195" s="61">
        <f>+'[1]BASE MENSUAL 2022 PRESUP.'!L203</f>
        <v>2702.89</v>
      </c>
      <c r="F195" s="62">
        <v>0</v>
      </c>
      <c r="G195" s="62">
        <v>0</v>
      </c>
      <c r="H195" s="62">
        <v>0</v>
      </c>
      <c r="I195" s="62">
        <v>0</v>
      </c>
      <c r="J195" s="62">
        <v>0</v>
      </c>
      <c r="K195" s="62">
        <f>1866.6+56</f>
        <v>1922.6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  <c r="Q195" s="62">
        <v>0</v>
      </c>
      <c r="AD195" s="8">
        <f>1866.6*1.03</f>
        <v>1922.598</v>
      </c>
      <c r="AE195" s="42">
        <f t="shared" si="53"/>
        <v>-780.29199999999992</v>
      </c>
      <c r="AF195" s="38">
        <f>+E195</f>
        <v>2702.89</v>
      </c>
    </row>
    <row r="196" spans="2:32" x14ac:dyDescent="0.2">
      <c r="B196" s="59" t="s">
        <v>386</v>
      </c>
      <c r="C196" s="59" t="s">
        <v>27</v>
      </c>
      <c r="D196" s="60" t="s">
        <v>387</v>
      </c>
      <c r="E196" s="61">
        <f>+'[1]BASE MENSUAL 2022 PRESUP.'!L204</f>
        <v>1040.4000000000001</v>
      </c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AF196" s="38"/>
    </row>
    <row r="197" spans="2:32" x14ac:dyDescent="0.2">
      <c r="B197" s="48" t="s">
        <v>388</v>
      </c>
      <c r="C197" s="48"/>
      <c r="D197" s="50" t="s">
        <v>389</v>
      </c>
      <c r="E197" s="51">
        <f>+E198</f>
        <v>0</v>
      </c>
      <c r="F197" s="52">
        <f t="shared" ref="F197:Q197" si="63">+F198</f>
        <v>0</v>
      </c>
      <c r="G197" s="52">
        <f t="shared" si="63"/>
        <v>0</v>
      </c>
      <c r="H197" s="52">
        <f t="shared" si="63"/>
        <v>0</v>
      </c>
      <c r="I197" s="52">
        <f t="shared" si="63"/>
        <v>0</v>
      </c>
      <c r="J197" s="52">
        <f t="shared" si="63"/>
        <v>0</v>
      </c>
      <c r="K197" s="52">
        <f t="shared" si="63"/>
        <v>0</v>
      </c>
      <c r="L197" s="52">
        <f t="shared" si="63"/>
        <v>0</v>
      </c>
      <c r="M197" s="52">
        <f t="shared" si="63"/>
        <v>0</v>
      </c>
      <c r="N197" s="52">
        <f t="shared" si="63"/>
        <v>0</v>
      </c>
      <c r="O197" s="52">
        <f t="shared" si="63"/>
        <v>0</v>
      </c>
      <c r="P197" s="52">
        <f t="shared" si="63"/>
        <v>0</v>
      </c>
      <c r="Q197" s="52">
        <f t="shared" si="63"/>
        <v>0</v>
      </c>
      <c r="AE197" s="42">
        <f t="shared" si="53"/>
        <v>0</v>
      </c>
      <c r="AF197" s="38"/>
    </row>
    <row r="198" spans="2:32" x14ac:dyDescent="0.2">
      <c r="B198" s="59" t="s">
        <v>390</v>
      </c>
      <c r="C198" s="59" t="s">
        <v>27</v>
      </c>
      <c r="D198" s="60" t="s">
        <v>391</v>
      </c>
      <c r="E198" s="61">
        <f>+'[1]BASE MENSUAL 2022 PRESUP.'!L206</f>
        <v>0</v>
      </c>
      <c r="F198" s="62">
        <v>0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62">
        <v>0</v>
      </c>
      <c r="N198" s="62">
        <v>0</v>
      </c>
      <c r="O198" s="62">
        <v>0</v>
      </c>
      <c r="P198" s="62">
        <v>0</v>
      </c>
      <c r="Q198" s="62">
        <v>0</v>
      </c>
      <c r="AE198" s="42">
        <f t="shared" si="53"/>
        <v>0</v>
      </c>
      <c r="AF198" s="38">
        <f>+E198</f>
        <v>0</v>
      </c>
    </row>
    <row r="199" spans="2:32" x14ac:dyDescent="0.2">
      <c r="B199" s="48" t="s">
        <v>392</v>
      </c>
      <c r="C199" s="48"/>
      <c r="D199" s="50" t="s">
        <v>393</v>
      </c>
      <c r="E199" s="51">
        <f>+E200+E202+E204</f>
        <v>1865.8400000000001</v>
      </c>
      <c r="F199" s="52">
        <f t="shared" ref="F199:Q199" si="64">+F200+F202+F204</f>
        <v>199.11</v>
      </c>
      <c r="G199" s="52">
        <f t="shared" si="64"/>
        <v>145.37</v>
      </c>
      <c r="H199" s="52">
        <f t="shared" si="64"/>
        <v>145.37</v>
      </c>
      <c r="I199" s="52">
        <f t="shared" si="64"/>
        <v>0</v>
      </c>
      <c r="J199" s="52">
        <f t="shared" si="64"/>
        <v>342.91</v>
      </c>
      <c r="K199" s="52">
        <f t="shared" si="64"/>
        <v>149.73000000000002</v>
      </c>
      <c r="L199" s="52">
        <f t="shared" si="64"/>
        <v>0</v>
      </c>
      <c r="M199" s="52">
        <f t="shared" si="64"/>
        <v>0</v>
      </c>
      <c r="N199" s="52">
        <f t="shared" si="64"/>
        <v>1126.45</v>
      </c>
      <c r="O199" s="52">
        <f t="shared" si="64"/>
        <v>0</v>
      </c>
      <c r="P199" s="52">
        <f t="shared" si="64"/>
        <v>0</v>
      </c>
      <c r="Q199" s="52">
        <f t="shared" si="64"/>
        <v>145.37</v>
      </c>
      <c r="AE199" s="42">
        <f t="shared" si="53"/>
        <v>-1865.8400000000001</v>
      </c>
      <c r="AF199" s="38"/>
    </row>
    <row r="200" spans="2:32" x14ac:dyDescent="0.2">
      <c r="B200" s="48" t="s">
        <v>394</v>
      </c>
      <c r="C200" s="48"/>
      <c r="D200" s="50" t="s">
        <v>393</v>
      </c>
      <c r="E200" s="51">
        <f>+E201</f>
        <v>0</v>
      </c>
      <c r="F200" s="52">
        <f t="shared" ref="F200:Q200" si="65">+F201</f>
        <v>53.74</v>
      </c>
      <c r="G200" s="52">
        <f t="shared" si="65"/>
        <v>0</v>
      </c>
      <c r="H200" s="52">
        <f t="shared" si="65"/>
        <v>0</v>
      </c>
      <c r="I200" s="52">
        <f t="shared" si="65"/>
        <v>0</v>
      </c>
      <c r="J200" s="52">
        <f t="shared" si="65"/>
        <v>0</v>
      </c>
      <c r="K200" s="52">
        <f t="shared" si="65"/>
        <v>0</v>
      </c>
      <c r="L200" s="52">
        <f t="shared" si="65"/>
        <v>0</v>
      </c>
      <c r="M200" s="52">
        <f t="shared" si="65"/>
        <v>0</v>
      </c>
      <c r="N200" s="52">
        <f t="shared" si="65"/>
        <v>0</v>
      </c>
      <c r="O200" s="52">
        <f t="shared" si="65"/>
        <v>0</v>
      </c>
      <c r="P200" s="52">
        <f t="shared" si="65"/>
        <v>0</v>
      </c>
      <c r="Q200" s="52">
        <f t="shared" si="65"/>
        <v>0</v>
      </c>
      <c r="AE200" s="42">
        <f t="shared" si="53"/>
        <v>0</v>
      </c>
      <c r="AF200" s="38"/>
    </row>
    <row r="201" spans="2:32" x14ac:dyDescent="0.2">
      <c r="B201" s="59" t="s">
        <v>395</v>
      </c>
      <c r="C201" s="59" t="s">
        <v>27</v>
      </c>
      <c r="D201" s="60" t="s">
        <v>396</v>
      </c>
      <c r="E201" s="61">
        <f>+'[1]BASE MENSUAL 2022 PRESUP.'!L209</f>
        <v>0</v>
      </c>
      <c r="F201" s="62">
        <v>53.74</v>
      </c>
      <c r="G201" s="62">
        <v>0</v>
      </c>
      <c r="H201" s="62">
        <v>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AD201" s="8">
        <f>52.17*1.03</f>
        <v>53.735100000000003</v>
      </c>
      <c r="AE201" s="42">
        <f t="shared" si="53"/>
        <v>53.735100000000003</v>
      </c>
      <c r="AF201" s="38">
        <f>+E201</f>
        <v>0</v>
      </c>
    </row>
    <row r="202" spans="2:32" x14ac:dyDescent="0.2">
      <c r="B202" s="48" t="s">
        <v>397</v>
      </c>
      <c r="C202" s="48"/>
      <c r="D202" s="50" t="s">
        <v>398</v>
      </c>
      <c r="E202" s="51">
        <f>+E203</f>
        <v>1215.1300000000001</v>
      </c>
      <c r="F202" s="52">
        <f t="shared" ref="F202:Q202" si="66">+F203</f>
        <v>0</v>
      </c>
      <c r="G202" s="52">
        <f t="shared" si="66"/>
        <v>0</v>
      </c>
      <c r="H202" s="52">
        <f t="shared" si="66"/>
        <v>0</v>
      </c>
      <c r="I202" s="52">
        <f t="shared" si="66"/>
        <v>0</v>
      </c>
      <c r="J202" s="52">
        <f t="shared" si="66"/>
        <v>52.17</v>
      </c>
      <c r="K202" s="52">
        <f t="shared" si="66"/>
        <v>0</v>
      </c>
      <c r="L202" s="52">
        <f t="shared" si="66"/>
        <v>0</v>
      </c>
      <c r="M202" s="52">
        <f t="shared" si="66"/>
        <v>0</v>
      </c>
      <c r="N202" s="52">
        <f t="shared" si="66"/>
        <v>929</v>
      </c>
      <c r="O202" s="52">
        <f t="shared" si="66"/>
        <v>0</v>
      </c>
      <c r="P202" s="52">
        <f t="shared" si="66"/>
        <v>0</v>
      </c>
      <c r="Q202" s="52">
        <f t="shared" si="66"/>
        <v>0</v>
      </c>
      <c r="AE202" s="42">
        <f t="shared" si="53"/>
        <v>-1215.1300000000001</v>
      </c>
      <c r="AF202" s="38"/>
    </row>
    <row r="203" spans="2:32" x14ac:dyDescent="0.2">
      <c r="B203" s="59" t="s">
        <v>399</v>
      </c>
      <c r="C203" s="59" t="s">
        <v>27</v>
      </c>
      <c r="D203" s="60" t="s">
        <v>400</v>
      </c>
      <c r="E203" s="61">
        <f>+'[1]BASE MENSUAL 2022 PRESUP.'!L211</f>
        <v>1215.1300000000001</v>
      </c>
      <c r="F203" s="62">
        <v>0</v>
      </c>
      <c r="G203" s="62">
        <v>0</v>
      </c>
      <c r="H203" s="62">
        <v>0</v>
      </c>
      <c r="I203" s="62">
        <v>0</v>
      </c>
      <c r="J203" s="62">
        <v>52.17</v>
      </c>
      <c r="K203" s="62">
        <v>0</v>
      </c>
      <c r="L203" s="62">
        <v>0</v>
      </c>
      <c r="M203" s="62">
        <v>0</v>
      </c>
      <c r="N203" s="62">
        <f>900.42+28.58</f>
        <v>929</v>
      </c>
      <c r="O203" s="62">
        <v>0</v>
      </c>
      <c r="P203" s="62">
        <v>0</v>
      </c>
      <c r="Q203" s="62">
        <v>0</v>
      </c>
      <c r="AD203" s="8">
        <f>952.59*1.03</f>
        <v>981.16770000000008</v>
      </c>
      <c r="AE203" s="42">
        <f t="shared" si="53"/>
        <v>-233.96230000000003</v>
      </c>
      <c r="AF203" s="38">
        <f>+E203</f>
        <v>1215.1300000000001</v>
      </c>
    </row>
    <row r="204" spans="2:32" x14ac:dyDescent="0.2">
      <c r="B204" s="48" t="s">
        <v>401</v>
      </c>
      <c r="C204" s="48"/>
      <c r="D204" s="50" t="s">
        <v>402</v>
      </c>
      <c r="E204" s="51">
        <f>SUM(E205:E207)</f>
        <v>650.71</v>
      </c>
      <c r="F204" s="52">
        <f t="shared" ref="F204:Q204" si="67">SUM(F205:F207)</f>
        <v>145.37</v>
      </c>
      <c r="G204" s="52">
        <f t="shared" si="67"/>
        <v>145.37</v>
      </c>
      <c r="H204" s="52">
        <f t="shared" si="67"/>
        <v>145.37</v>
      </c>
      <c r="I204" s="52">
        <f t="shared" si="67"/>
        <v>0</v>
      </c>
      <c r="J204" s="52">
        <f t="shared" si="67"/>
        <v>290.74</v>
      </c>
      <c r="K204" s="52">
        <f t="shared" si="67"/>
        <v>149.73000000000002</v>
      </c>
      <c r="L204" s="52">
        <f t="shared" si="67"/>
        <v>0</v>
      </c>
      <c r="M204" s="52">
        <f t="shared" si="67"/>
        <v>0</v>
      </c>
      <c r="N204" s="52">
        <f t="shared" si="67"/>
        <v>197.45</v>
      </c>
      <c r="O204" s="52">
        <f t="shared" si="67"/>
        <v>0</v>
      </c>
      <c r="P204" s="52">
        <f t="shared" si="67"/>
        <v>0</v>
      </c>
      <c r="Q204" s="52">
        <f t="shared" si="67"/>
        <v>145.37</v>
      </c>
      <c r="AE204" s="42">
        <f t="shared" si="53"/>
        <v>-650.71</v>
      </c>
      <c r="AF204" s="38"/>
    </row>
    <row r="205" spans="2:32" x14ac:dyDescent="0.2">
      <c r="B205" s="59" t="s">
        <v>403</v>
      </c>
      <c r="C205" s="59" t="s">
        <v>27</v>
      </c>
      <c r="D205" s="60" t="s">
        <v>404</v>
      </c>
      <c r="E205" s="61">
        <f>+'[1]BASE MENSUAL 2022 PRESUP.'!L213</f>
        <v>0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f>145.37+4.36</f>
        <v>149.73000000000002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AD205" s="8">
        <f>145.37*1.03</f>
        <v>149.7311</v>
      </c>
      <c r="AE205" s="42">
        <f t="shared" si="53"/>
        <v>149.7311</v>
      </c>
      <c r="AF205" s="38">
        <f>+E205</f>
        <v>0</v>
      </c>
    </row>
    <row r="206" spans="2:32" x14ac:dyDescent="0.2">
      <c r="B206" s="59" t="s">
        <v>405</v>
      </c>
      <c r="C206" s="59" t="s">
        <v>27</v>
      </c>
      <c r="D206" s="60" t="s">
        <v>406</v>
      </c>
      <c r="E206" s="61">
        <f>+'[1]BASE MENSUAL 2022 PRESUP.'!L214</f>
        <v>650.71</v>
      </c>
      <c r="F206" s="62">
        <v>0</v>
      </c>
      <c r="G206" s="62">
        <v>0</v>
      </c>
      <c r="H206" s="62">
        <v>0</v>
      </c>
      <c r="I206" s="62">
        <v>0</v>
      </c>
      <c r="J206" s="62">
        <v>290.74</v>
      </c>
      <c r="K206" s="62">
        <v>0</v>
      </c>
      <c r="L206" s="62">
        <v>0</v>
      </c>
      <c r="M206" s="62">
        <v>0</v>
      </c>
      <c r="N206" s="62">
        <f>179+18.45</f>
        <v>197.45</v>
      </c>
      <c r="O206" s="62">
        <v>0</v>
      </c>
      <c r="P206" s="62">
        <v>0</v>
      </c>
      <c r="Q206" s="62">
        <v>145.37</v>
      </c>
      <c r="AD206" s="8">
        <f>615.11*1.03</f>
        <v>633.56330000000003</v>
      </c>
      <c r="AE206" s="42">
        <f t="shared" si="53"/>
        <v>-17.14670000000001</v>
      </c>
      <c r="AF206" s="38">
        <f>+E206</f>
        <v>650.71</v>
      </c>
    </row>
    <row r="207" spans="2:32" x14ac:dyDescent="0.2">
      <c r="B207" s="59" t="s">
        <v>407</v>
      </c>
      <c r="C207" s="59" t="s">
        <v>27</v>
      </c>
      <c r="D207" s="60" t="s">
        <v>408</v>
      </c>
      <c r="E207" s="61">
        <f>+'[1]BASE MENSUAL 2022 PRESUP.'!L215</f>
        <v>0</v>
      </c>
      <c r="F207" s="62">
        <v>145.37</v>
      </c>
      <c r="G207" s="62">
        <v>145.37</v>
      </c>
      <c r="H207" s="62">
        <v>145.37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0</v>
      </c>
      <c r="AD207" s="8">
        <f>290.74*1.03</f>
        <v>299.4622</v>
      </c>
      <c r="AE207" s="42">
        <f t="shared" si="53"/>
        <v>299.4622</v>
      </c>
      <c r="AF207" s="38">
        <f>+E207</f>
        <v>0</v>
      </c>
    </row>
    <row r="208" spans="2:32" x14ac:dyDescent="0.2">
      <c r="B208" s="48" t="s">
        <v>409</v>
      </c>
      <c r="C208" s="48"/>
      <c r="D208" s="50" t="s">
        <v>410</v>
      </c>
      <c r="E208" s="51">
        <f>+E209</f>
        <v>126041</v>
      </c>
      <c r="F208" s="52">
        <f t="shared" ref="F208:Q208" si="68">+F209</f>
        <v>16264</v>
      </c>
      <c r="G208" s="52">
        <f t="shared" si="68"/>
        <v>16769</v>
      </c>
      <c r="H208" s="52">
        <f t="shared" si="68"/>
        <v>17713.57</v>
      </c>
      <c r="I208" s="52">
        <f t="shared" si="68"/>
        <v>16372.61</v>
      </c>
      <c r="J208" s="52">
        <f t="shared" si="68"/>
        <v>15252</v>
      </c>
      <c r="K208" s="52">
        <f t="shared" si="68"/>
        <v>10359.709999999999</v>
      </c>
      <c r="L208" s="52">
        <f t="shared" si="68"/>
        <v>0</v>
      </c>
      <c r="M208" s="52">
        <f t="shared" si="68"/>
        <v>4229.41</v>
      </c>
      <c r="N208" s="52">
        <f t="shared" si="68"/>
        <v>46328.79</v>
      </c>
      <c r="O208" s="52">
        <f t="shared" si="68"/>
        <v>11000.2</v>
      </c>
      <c r="P208" s="52">
        <f t="shared" si="68"/>
        <v>14325.349999999999</v>
      </c>
      <c r="Q208" s="52">
        <f t="shared" si="68"/>
        <v>14047</v>
      </c>
      <c r="AE208" s="42">
        <f t="shared" si="53"/>
        <v>-126041</v>
      </c>
      <c r="AF208" s="38"/>
    </row>
    <row r="209" spans="2:32" x14ac:dyDescent="0.2">
      <c r="B209" s="48" t="s">
        <v>411</v>
      </c>
      <c r="C209" s="48"/>
      <c r="D209" s="50" t="s">
        <v>412</v>
      </c>
      <c r="E209" s="69">
        <f>+E210+E215+E219+E223</f>
        <v>126041</v>
      </c>
      <c r="F209" s="70">
        <f t="shared" ref="F209:Q209" si="69">+F210+F215+F219+F223</f>
        <v>16264</v>
      </c>
      <c r="G209" s="70">
        <f t="shared" si="69"/>
        <v>16769</v>
      </c>
      <c r="H209" s="70">
        <f t="shared" si="69"/>
        <v>17713.57</v>
      </c>
      <c r="I209" s="70">
        <f t="shared" si="69"/>
        <v>16372.61</v>
      </c>
      <c r="J209" s="70">
        <f t="shared" si="69"/>
        <v>15252</v>
      </c>
      <c r="K209" s="70">
        <f t="shared" si="69"/>
        <v>10359.709999999999</v>
      </c>
      <c r="L209" s="70">
        <f t="shared" si="69"/>
        <v>0</v>
      </c>
      <c r="M209" s="70">
        <f t="shared" si="69"/>
        <v>4229.41</v>
      </c>
      <c r="N209" s="70">
        <f t="shared" si="69"/>
        <v>46328.79</v>
      </c>
      <c r="O209" s="70">
        <f t="shared" si="69"/>
        <v>11000.2</v>
      </c>
      <c r="P209" s="70">
        <f t="shared" si="69"/>
        <v>14325.349999999999</v>
      </c>
      <c r="Q209" s="70">
        <f t="shared" si="69"/>
        <v>14047</v>
      </c>
      <c r="AE209" s="42">
        <f t="shared" si="53"/>
        <v>-126041</v>
      </c>
      <c r="AF209" s="38"/>
    </row>
    <row r="210" spans="2:32" x14ac:dyDescent="0.2">
      <c r="B210" s="48" t="s">
        <v>413</v>
      </c>
      <c r="C210" s="48"/>
      <c r="D210" s="50" t="s">
        <v>414</v>
      </c>
      <c r="E210" s="51">
        <f>SUM(E211:E214)</f>
        <v>4715</v>
      </c>
      <c r="F210" s="52">
        <f t="shared" ref="F210:Q210" si="70">SUM(F211:F214)</f>
        <v>111</v>
      </c>
      <c r="G210" s="52">
        <f t="shared" si="70"/>
        <v>193</v>
      </c>
      <c r="H210" s="52">
        <f t="shared" si="70"/>
        <v>431.57</v>
      </c>
      <c r="I210" s="52">
        <f t="shared" si="70"/>
        <v>216</v>
      </c>
      <c r="J210" s="52">
        <f t="shared" si="70"/>
        <v>0</v>
      </c>
      <c r="K210" s="52">
        <f t="shared" si="70"/>
        <v>247.71</v>
      </c>
      <c r="L210" s="52">
        <f t="shared" si="70"/>
        <v>0</v>
      </c>
      <c r="M210" s="52">
        <f t="shared" si="70"/>
        <v>0</v>
      </c>
      <c r="N210" s="52">
        <f t="shared" si="70"/>
        <v>664</v>
      </c>
      <c r="O210" s="52">
        <f t="shared" si="70"/>
        <v>0</v>
      </c>
      <c r="P210" s="52">
        <f t="shared" si="70"/>
        <v>124.31</v>
      </c>
      <c r="Q210" s="52">
        <f t="shared" si="70"/>
        <v>0</v>
      </c>
      <c r="AE210" s="42">
        <f t="shared" si="53"/>
        <v>-4715</v>
      </c>
      <c r="AF210" s="38"/>
    </row>
    <row r="211" spans="2:32" x14ac:dyDescent="0.2">
      <c r="B211" s="59" t="s">
        <v>415</v>
      </c>
      <c r="C211" s="59" t="s">
        <v>267</v>
      </c>
      <c r="D211" s="60" t="s">
        <v>416</v>
      </c>
      <c r="E211" s="61">
        <f>+'[1]BASE MENSUAL 2022 PRESUP.'!L219</f>
        <v>0</v>
      </c>
      <c r="F211" s="62">
        <v>0</v>
      </c>
      <c r="G211" s="62">
        <v>0</v>
      </c>
      <c r="H211" s="62">
        <v>0</v>
      </c>
      <c r="I211" s="62">
        <v>0</v>
      </c>
      <c r="J211" s="62"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AE211" s="42">
        <f t="shared" si="53"/>
        <v>0</v>
      </c>
      <c r="AF211" s="38">
        <f>+E211</f>
        <v>0</v>
      </c>
    </row>
    <row r="212" spans="2:32" x14ac:dyDescent="0.2">
      <c r="B212" s="59" t="s">
        <v>417</v>
      </c>
      <c r="C212" s="59" t="s">
        <v>267</v>
      </c>
      <c r="D212" s="60" t="s">
        <v>418</v>
      </c>
      <c r="E212" s="61">
        <f>+'[1]BASE MENSUAL 2022 PRESUP.'!L220</f>
        <v>3000</v>
      </c>
      <c r="F212" s="62">
        <v>0</v>
      </c>
      <c r="G212" s="62">
        <v>193</v>
      </c>
      <c r="H212" s="62">
        <v>0</v>
      </c>
      <c r="I212" s="62">
        <v>216</v>
      </c>
      <c r="J212" s="62">
        <v>0</v>
      </c>
      <c r="K212" s="62">
        <f>216+31.71</f>
        <v>247.71</v>
      </c>
      <c r="L212" s="62">
        <v>0</v>
      </c>
      <c r="M212" s="62">
        <v>0</v>
      </c>
      <c r="N212" s="62">
        <v>432</v>
      </c>
      <c r="O212" s="62">
        <v>0</v>
      </c>
      <c r="P212" s="62">
        <v>0</v>
      </c>
      <c r="Q212" s="62">
        <v>0</v>
      </c>
      <c r="AD212" s="8">
        <f>1057*1.03</f>
        <v>1088.71</v>
      </c>
      <c r="AE212" s="42">
        <f t="shared" si="53"/>
        <v>-1911.29</v>
      </c>
      <c r="AF212" s="38">
        <f>+E212</f>
        <v>3000</v>
      </c>
    </row>
    <row r="213" spans="2:32" x14ac:dyDescent="0.2">
      <c r="B213" s="59" t="s">
        <v>419</v>
      </c>
      <c r="C213" s="59" t="s">
        <v>267</v>
      </c>
      <c r="D213" s="60" t="s">
        <v>420</v>
      </c>
      <c r="E213" s="61">
        <f>+'[1]BASE MENSUAL 2022 PRESUP.'!L221</f>
        <v>1296</v>
      </c>
      <c r="F213" s="62">
        <v>0</v>
      </c>
      <c r="G213" s="62">
        <v>0</v>
      </c>
      <c r="H213" s="62">
        <f>419+12.57</f>
        <v>431.57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  <c r="Q213" s="62">
        <v>0</v>
      </c>
      <c r="AD213" s="8">
        <f>419*1.03</f>
        <v>431.57</v>
      </c>
      <c r="AE213" s="42">
        <f t="shared" si="53"/>
        <v>-864.43000000000006</v>
      </c>
      <c r="AF213" s="38">
        <f>+E213</f>
        <v>1296</v>
      </c>
    </row>
    <row r="214" spans="2:32" x14ac:dyDescent="0.2">
      <c r="B214" s="59" t="s">
        <v>421</v>
      </c>
      <c r="C214" s="59" t="s">
        <v>267</v>
      </c>
      <c r="D214" s="60" t="s">
        <v>422</v>
      </c>
      <c r="E214" s="61">
        <f>+'[1]BASE MENSUAL 2022 PRESUP.'!L222</f>
        <v>419</v>
      </c>
      <c r="F214" s="62">
        <v>111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232</v>
      </c>
      <c r="O214" s="62">
        <v>0</v>
      </c>
      <c r="P214" s="62">
        <f>110.7+13.61</f>
        <v>124.31</v>
      </c>
      <c r="Q214" s="62">
        <v>0</v>
      </c>
      <c r="AD214" s="8">
        <f>453.7*1.03</f>
        <v>467.31099999999998</v>
      </c>
      <c r="AE214" s="42">
        <f t="shared" si="53"/>
        <v>48.310999999999979</v>
      </c>
      <c r="AF214" s="38">
        <f>+E214</f>
        <v>419</v>
      </c>
    </row>
    <row r="215" spans="2:32" x14ac:dyDescent="0.2">
      <c r="B215" s="48" t="s">
        <v>423</v>
      </c>
      <c r="C215" s="48"/>
      <c r="D215" s="50" t="s">
        <v>424</v>
      </c>
      <c r="E215" s="51">
        <f>SUM(E216:E218)</f>
        <v>10285</v>
      </c>
      <c r="F215" s="52">
        <f t="shared" ref="F215:R215" si="71">SUM(F216:F218)</f>
        <v>2030</v>
      </c>
      <c r="G215" s="52">
        <f t="shared" si="71"/>
        <v>2227</v>
      </c>
      <c r="H215" s="52">
        <f t="shared" si="71"/>
        <v>1212</v>
      </c>
      <c r="I215" s="52">
        <f t="shared" si="71"/>
        <v>303</v>
      </c>
      <c r="J215" s="52">
        <f t="shared" si="71"/>
        <v>303</v>
      </c>
      <c r="K215" s="52">
        <f t="shared" si="71"/>
        <v>606</v>
      </c>
      <c r="L215" s="52">
        <f t="shared" si="71"/>
        <v>0</v>
      </c>
      <c r="M215" s="52">
        <f t="shared" si="71"/>
        <v>0</v>
      </c>
      <c r="N215" s="52">
        <f t="shared" si="71"/>
        <v>3982.79</v>
      </c>
      <c r="O215" s="52">
        <f t="shared" si="71"/>
        <v>289.8</v>
      </c>
      <c r="P215" s="52">
        <f t="shared" si="71"/>
        <v>2298.9900000000002</v>
      </c>
      <c r="Q215" s="52">
        <f t="shared" si="71"/>
        <v>3625</v>
      </c>
      <c r="R215" s="65">
        <f t="shared" si="71"/>
        <v>0</v>
      </c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E215" s="42">
        <f t="shared" si="53"/>
        <v>-10285</v>
      </c>
      <c r="AF215" s="38"/>
    </row>
    <row r="216" spans="2:32" x14ac:dyDescent="0.2">
      <c r="B216" s="59" t="s">
        <v>425</v>
      </c>
      <c r="C216" s="59" t="s">
        <v>267</v>
      </c>
      <c r="D216" s="60" t="s">
        <v>426</v>
      </c>
      <c r="E216" s="61">
        <f>+'[1]BASE MENSUAL 2022 PRESUP.'!L224</f>
        <v>6652</v>
      </c>
      <c r="F216" s="62">
        <v>2030</v>
      </c>
      <c r="G216" s="62">
        <v>1212</v>
      </c>
      <c r="H216" s="62">
        <v>1212</v>
      </c>
      <c r="I216" s="62">
        <v>303</v>
      </c>
      <c r="J216" s="62">
        <v>303</v>
      </c>
      <c r="K216" s="62">
        <v>606</v>
      </c>
      <c r="L216" s="62">
        <v>0</v>
      </c>
      <c r="M216" s="62">
        <v>0</v>
      </c>
      <c r="N216" s="62">
        <v>2424</v>
      </c>
      <c r="O216" s="62">
        <v>289.8</v>
      </c>
      <c r="P216" s="62">
        <v>268.79000000000002</v>
      </c>
      <c r="Q216" s="62">
        <v>580</v>
      </c>
      <c r="AD216" s="8">
        <f>8959.8*1.03</f>
        <v>9228.5939999999991</v>
      </c>
      <c r="AE216" s="42">
        <f t="shared" si="53"/>
        <v>2576.5939999999991</v>
      </c>
      <c r="AF216" s="38">
        <f>+E216</f>
        <v>6652</v>
      </c>
    </row>
    <row r="217" spans="2:32" x14ac:dyDescent="0.2">
      <c r="B217" s="59" t="s">
        <v>427</v>
      </c>
      <c r="C217" s="59" t="s">
        <v>267</v>
      </c>
      <c r="D217" s="60" t="s">
        <v>428</v>
      </c>
      <c r="E217" s="61">
        <f>+'[1]BASE MENSUAL 2022 PRESUP.'!L225</f>
        <v>2260</v>
      </c>
      <c r="F217" s="62">
        <v>0</v>
      </c>
      <c r="G217" s="62">
        <v>1015</v>
      </c>
      <c r="H217" s="62">
        <v>0</v>
      </c>
      <c r="I217" s="62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182.71</v>
      </c>
      <c r="O217" s="62">
        <v>0</v>
      </c>
      <c r="P217" s="62">
        <v>2030.2</v>
      </c>
      <c r="Q217" s="62">
        <v>3045</v>
      </c>
      <c r="AD217" s="8">
        <f>6090.2*1.03</f>
        <v>6272.9059999999999</v>
      </c>
      <c r="AE217" s="42">
        <f t="shared" ref="AE217:AE257" si="72">+AD217-E217</f>
        <v>4012.9059999999999</v>
      </c>
      <c r="AF217" s="38">
        <f>+E217</f>
        <v>2260</v>
      </c>
    </row>
    <row r="218" spans="2:32" x14ac:dyDescent="0.2">
      <c r="B218" s="59" t="s">
        <v>429</v>
      </c>
      <c r="C218" s="59" t="s">
        <v>267</v>
      </c>
      <c r="D218" s="60" t="s">
        <v>430</v>
      </c>
      <c r="E218" s="61">
        <f>+'[1]BASE MENSUAL 2022 PRESUP.'!L226</f>
        <v>1373</v>
      </c>
      <c r="F218" s="62">
        <v>0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f>1336+40.08</f>
        <v>1376.08</v>
      </c>
      <c r="O218" s="62">
        <v>0</v>
      </c>
      <c r="P218" s="62">
        <v>0</v>
      </c>
      <c r="Q218" s="62">
        <v>0</v>
      </c>
      <c r="AD218" s="8">
        <f>1336*1.03</f>
        <v>1376.08</v>
      </c>
      <c r="AE218" s="42">
        <f t="shared" si="72"/>
        <v>3.0799999999999272</v>
      </c>
      <c r="AF218" s="38">
        <f>+E218</f>
        <v>1373</v>
      </c>
    </row>
    <row r="219" spans="2:32" x14ac:dyDescent="0.2">
      <c r="B219" s="48" t="s">
        <v>431</v>
      </c>
      <c r="C219" s="48"/>
      <c r="D219" s="50" t="s">
        <v>432</v>
      </c>
      <c r="E219" s="51">
        <f>SUM(E220:E222)</f>
        <v>5682</v>
      </c>
      <c r="F219" s="52">
        <f t="shared" ref="F219:Q219" si="73">SUM(F220:F222)</f>
        <v>431</v>
      </c>
      <c r="G219" s="52">
        <f t="shared" si="73"/>
        <v>452</v>
      </c>
      <c r="H219" s="52">
        <f t="shared" si="73"/>
        <v>452</v>
      </c>
      <c r="I219" s="52">
        <f t="shared" si="73"/>
        <v>2292.6099999999997</v>
      </c>
      <c r="J219" s="52">
        <f t="shared" si="73"/>
        <v>1808</v>
      </c>
      <c r="K219" s="52">
        <f t="shared" si="73"/>
        <v>452</v>
      </c>
      <c r="L219" s="52">
        <f t="shared" si="73"/>
        <v>0</v>
      </c>
      <c r="M219" s="52">
        <f t="shared" si="73"/>
        <v>0</v>
      </c>
      <c r="N219" s="52">
        <f t="shared" si="73"/>
        <v>1280</v>
      </c>
      <c r="O219" s="52">
        <f t="shared" si="73"/>
        <v>631.36</v>
      </c>
      <c r="P219" s="52">
        <f t="shared" si="73"/>
        <v>812.25</v>
      </c>
      <c r="Q219" s="52">
        <f t="shared" si="73"/>
        <v>862</v>
      </c>
      <c r="AE219" s="42">
        <f t="shared" si="72"/>
        <v>-5682</v>
      </c>
      <c r="AF219" s="38"/>
    </row>
    <row r="220" spans="2:32" x14ac:dyDescent="0.2">
      <c r="B220" s="59" t="s">
        <v>433</v>
      </c>
      <c r="C220" s="59" t="s">
        <v>267</v>
      </c>
      <c r="D220" s="60" t="s">
        <v>434</v>
      </c>
      <c r="E220" s="61">
        <f>+'[1]BASE MENSUAL 2022 PRESUP.'!L228</f>
        <v>3787</v>
      </c>
      <c r="F220" s="62">
        <v>431</v>
      </c>
      <c r="G220" s="62">
        <v>452</v>
      </c>
      <c r="H220" s="62">
        <v>452</v>
      </c>
      <c r="I220" s="62">
        <v>452</v>
      </c>
      <c r="J220" s="62">
        <v>1808</v>
      </c>
      <c r="K220" s="62">
        <v>452</v>
      </c>
      <c r="L220" s="62">
        <v>0</v>
      </c>
      <c r="M220" s="62"/>
      <c r="N220" s="62">
        <v>904</v>
      </c>
      <c r="O220" s="62">
        <f>431.1+200.26</f>
        <v>631.36</v>
      </c>
      <c r="P220" s="62">
        <v>431.1</v>
      </c>
      <c r="Q220" s="62">
        <v>862</v>
      </c>
      <c r="AD220" s="8">
        <f>+E220*1.03</f>
        <v>3900.61</v>
      </c>
      <c r="AE220" s="42">
        <f t="shared" si="72"/>
        <v>113.61000000000013</v>
      </c>
      <c r="AF220" s="38">
        <f>+E220</f>
        <v>3787</v>
      </c>
    </row>
    <row r="221" spans="2:32" x14ac:dyDescent="0.2">
      <c r="B221" s="59" t="s">
        <v>435</v>
      </c>
      <c r="C221" s="59" t="s">
        <v>267</v>
      </c>
      <c r="D221" s="60" t="s">
        <v>436</v>
      </c>
      <c r="E221" s="61">
        <f>+'[1]BASE MENSUAL 2022 PRESUP.'!L229</f>
        <v>1895</v>
      </c>
      <c r="F221" s="62">
        <v>0</v>
      </c>
      <c r="G221" s="62">
        <v>0</v>
      </c>
      <c r="H221" s="62">
        <v>0</v>
      </c>
      <c r="I221" s="62">
        <f>1787+53.61</f>
        <v>1840.61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2">
        <v>0</v>
      </c>
      <c r="AD221" s="8">
        <f>1787*1.03</f>
        <v>1840.6100000000001</v>
      </c>
      <c r="AE221" s="42">
        <f t="shared" si="72"/>
        <v>-54.389999999999873</v>
      </c>
      <c r="AF221" s="38">
        <f>+E221</f>
        <v>1895</v>
      </c>
    </row>
    <row r="222" spans="2:32" x14ac:dyDescent="0.2">
      <c r="B222" s="59" t="s">
        <v>437</v>
      </c>
      <c r="C222" s="59" t="s">
        <v>267</v>
      </c>
      <c r="D222" s="60" t="s">
        <v>438</v>
      </c>
      <c r="E222" s="61">
        <f>+'[1]BASE MENSUAL 2022 PRESUP.'!L230</f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376</v>
      </c>
      <c r="O222" s="62">
        <v>0</v>
      </c>
      <c r="P222" s="62">
        <f>359.1+22.05</f>
        <v>381.15000000000003</v>
      </c>
      <c r="Q222" s="62">
        <v>0</v>
      </c>
      <c r="AD222" s="8">
        <f>735.1*1.03</f>
        <v>757.15300000000002</v>
      </c>
      <c r="AE222" s="42">
        <f t="shared" si="72"/>
        <v>757.15300000000002</v>
      </c>
      <c r="AF222" s="38">
        <f>+E222</f>
        <v>0</v>
      </c>
    </row>
    <row r="223" spans="2:32" x14ac:dyDescent="0.2">
      <c r="B223" s="48" t="s">
        <v>439</v>
      </c>
      <c r="C223" s="48"/>
      <c r="D223" s="50" t="s">
        <v>440</v>
      </c>
      <c r="E223" s="51">
        <f>SUM(E224:E228)</f>
        <v>105359</v>
      </c>
      <c r="F223" s="52">
        <f t="shared" ref="F223:Q223" si="74">SUM(F224:F228)</f>
        <v>13692</v>
      </c>
      <c r="G223" s="52">
        <f t="shared" si="74"/>
        <v>13897</v>
      </c>
      <c r="H223" s="52">
        <f t="shared" si="74"/>
        <v>15618</v>
      </c>
      <c r="I223" s="52">
        <f t="shared" si="74"/>
        <v>13561</v>
      </c>
      <c r="J223" s="52">
        <f t="shared" si="74"/>
        <v>13141</v>
      </c>
      <c r="K223" s="52">
        <f t="shared" si="74"/>
        <v>9054</v>
      </c>
      <c r="L223" s="52">
        <f t="shared" si="74"/>
        <v>0</v>
      </c>
      <c r="M223" s="52">
        <f t="shared" si="74"/>
        <v>4229.41</v>
      </c>
      <c r="N223" s="52">
        <f t="shared" si="74"/>
        <v>40402</v>
      </c>
      <c r="O223" s="52">
        <f t="shared" si="74"/>
        <v>10079.040000000001</v>
      </c>
      <c r="P223" s="52">
        <f t="shared" si="74"/>
        <v>11089.8</v>
      </c>
      <c r="Q223" s="52">
        <f t="shared" si="74"/>
        <v>9560</v>
      </c>
      <c r="AE223" s="42">
        <f t="shared" si="72"/>
        <v>-105359</v>
      </c>
      <c r="AF223" s="38"/>
    </row>
    <row r="224" spans="2:32" x14ac:dyDescent="0.2">
      <c r="B224" s="59" t="s">
        <v>441</v>
      </c>
      <c r="C224" s="59" t="s">
        <v>267</v>
      </c>
      <c r="D224" s="60" t="s">
        <v>442</v>
      </c>
      <c r="E224" s="61">
        <f>+'[1]BASE MENSUAL 2022 PRESUP.'!L232</f>
        <v>98228</v>
      </c>
      <c r="F224" s="62">
        <v>11960</v>
      </c>
      <c r="G224" s="62">
        <v>10660</v>
      </c>
      <c r="H224" s="62">
        <v>11076</v>
      </c>
      <c r="I224" s="62">
        <v>10036</v>
      </c>
      <c r="J224" s="62">
        <v>10400</v>
      </c>
      <c r="K224" s="62">
        <v>7540</v>
      </c>
      <c r="L224" s="62">
        <v>0</v>
      </c>
      <c r="M224" s="62">
        <v>3708.19</v>
      </c>
      <c r="N224" s="62">
        <v>35360</v>
      </c>
      <c r="O224" s="62">
        <v>9813.6</v>
      </c>
      <c r="P224" s="62">
        <v>9480.7999999999993</v>
      </c>
      <c r="Q224" s="62">
        <v>7280</v>
      </c>
      <c r="AD224" s="8">
        <f>123606.4*1.03</f>
        <v>127314.592</v>
      </c>
      <c r="AE224" s="42">
        <f t="shared" si="72"/>
        <v>29086.592000000004</v>
      </c>
      <c r="AF224" s="38">
        <f>+E224</f>
        <v>98228</v>
      </c>
    </row>
    <row r="225" spans="2:32" x14ac:dyDescent="0.2">
      <c r="B225" s="59" t="s">
        <v>443</v>
      </c>
      <c r="C225" s="59" t="s">
        <v>267</v>
      </c>
      <c r="D225" s="60" t="s">
        <v>444</v>
      </c>
      <c r="E225" s="61">
        <f>+'[1]BASE MENSUAL 2022 PRESUP.'!L233</f>
        <v>1716</v>
      </c>
      <c r="F225" s="62">
        <v>525</v>
      </c>
      <c r="G225" s="62">
        <v>468</v>
      </c>
      <c r="H225" s="62">
        <v>468</v>
      </c>
      <c r="I225" s="62">
        <v>234</v>
      </c>
      <c r="J225" s="62">
        <v>156</v>
      </c>
      <c r="K225" s="62">
        <v>156</v>
      </c>
      <c r="L225" s="62">
        <v>0</v>
      </c>
      <c r="M225" s="62">
        <v>105.73</v>
      </c>
      <c r="N225" s="62">
        <v>468</v>
      </c>
      <c r="O225" s="62">
        <v>0</v>
      </c>
      <c r="P225" s="62">
        <v>524.4</v>
      </c>
      <c r="Q225" s="62">
        <v>525</v>
      </c>
      <c r="AD225" s="8">
        <f>3524.4*1.03</f>
        <v>3630.1320000000001</v>
      </c>
      <c r="AE225" s="42">
        <f t="shared" si="72"/>
        <v>1914.1320000000001</v>
      </c>
      <c r="AF225" s="38">
        <f>+E225</f>
        <v>1716</v>
      </c>
    </row>
    <row r="226" spans="2:32" x14ac:dyDescent="0.2">
      <c r="B226" s="59" t="s">
        <v>445</v>
      </c>
      <c r="C226" s="59" t="s">
        <v>267</v>
      </c>
      <c r="D226" s="60" t="s">
        <v>446</v>
      </c>
      <c r="E226" s="61">
        <f>+'[1]BASE MENSUAL 2022 PRESUP.'!L234</f>
        <v>1198</v>
      </c>
      <c r="F226" s="62">
        <v>775</v>
      </c>
      <c r="G226" s="62">
        <v>489</v>
      </c>
      <c r="H226" s="62">
        <v>2934</v>
      </c>
      <c r="I226" s="62">
        <v>1467</v>
      </c>
      <c r="J226" s="62">
        <v>1141</v>
      </c>
      <c r="K226" s="62">
        <v>978</v>
      </c>
      <c r="L226" s="62">
        <v>0</v>
      </c>
      <c r="M226" s="62">
        <v>415.49</v>
      </c>
      <c r="N226" s="62">
        <v>3586</v>
      </c>
      <c r="O226" s="62">
        <v>0</v>
      </c>
      <c r="P226" s="62">
        <v>1084.5999999999999</v>
      </c>
      <c r="Q226" s="62">
        <v>1395</v>
      </c>
      <c r="AD226" s="8">
        <f>13849.6*1.03</f>
        <v>14265.088000000002</v>
      </c>
      <c r="AE226" s="42">
        <f t="shared" si="72"/>
        <v>13067.088000000002</v>
      </c>
      <c r="AF226" s="38">
        <f>+E226</f>
        <v>1198</v>
      </c>
    </row>
    <row r="227" spans="2:32" x14ac:dyDescent="0.2">
      <c r="B227" s="59" t="s">
        <v>447</v>
      </c>
      <c r="C227" s="59" t="s">
        <v>267</v>
      </c>
      <c r="D227" s="60" t="s">
        <v>448</v>
      </c>
      <c r="E227" s="61">
        <f>+'[1]BASE MENSUAL 2022 PRESUP.'!L235</f>
        <v>2404</v>
      </c>
      <c r="F227" s="62">
        <v>0</v>
      </c>
      <c r="G227" s="62">
        <v>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  <c r="Q227" s="62">
        <v>0</v>
      </c>
      <c r="AE227" s="42">
        <f t="shared" si="72"/>
        <v>-2404</v>
      </c>
      <c r="AF227" s="38">
        <f>+E227</f>
        <v>2404</v>
      </c>
    </row>
    <row r="228" spans="2:32" x14ac:dyDescent="0.2">
      <c r="B228" s="59" t="s">
        <v>449</v>
      </c>
      <c r="C228" s="59" t="s">
        <v>267</v>
      </c>
      <c r="D228" s="60" t="s">
        <v>450</v>
      </c>
      <c r="E228" s="61">
        <f>+'[1]BASE MENSUAL 2022 PRESUP.'!L236</f>
        <v>1813</v>
      </c>
      <c r="F228" s="62">
        <v>432</v>
      </c>
      <c r="G228" s="62">
        <v>2280</v>
      </c>
      <c r="H228" s="62">
        <v>1140</v>
      </c>
      <c r="I228" s="62">
        <v>1824</v>
      </c>
      <c r="J228" s="62">
        <v>1444</v>
      </c>
      <c r="K228" s="62">
        <v>380</v>
      </c>
      <c r="L228" s="62">
        <v>0</v>
      </c>
      <c r="M228" s="62">
        <v>0</v>
      </c>
      <c r="N228" s="62">
        <v>988</v>
      </c>
      <c r="O228" s="62">
        <v>265.44</v>
      </c>
      <c r="P228" s="62">
        <v>0</v>
      </c>
      <c r="Q228" s="62">
        <v>360</v>
      </c>
      <c r="AD228" s="8">
        <f>8848*1.03</f>
        <v>9113.44</v>
      </c>
      <c r="AE228" s="42">
        <f t="shared" si="72"/>
        <v>7300.4400000000005</v>
      </c>
      <c r="AF228" s="38">
        <f>+E228</f>
        <v>1813</v>
      </c>
    </row>
    <row r="229" spans="2:32" x14ac:dyDescent="0.2">
      <c r="B229" s="48" t="s">
        <v>451</v>
      </c>
      <c r="C229" s="48"/>
      <c r="D229" s="50" t="s">
        <v>452</v>
      </c>
      <c r="E229" s="51">
        <f>+E230</f>
        <v>0</v>
      </c>
      <c r="F229" s="52">
        <f t="shared" ref="F229:R229" si="75">+F230</f>
        <v>0</v>
      </c>
      <c r="G229" s="52">
        <f t="shared" si="75"/>
        <v>975.46</v>
      </c>
      <c r="H229" s="52">
        <f t="shared" si="75"/>
        <v>1418.88</v>
      </c>
      <c r="I229" s="52">
        <f t="shared" si="75"/>
        <v>803.34</v>
      </c>
      <c r="J229" s="52">
        <f t="shared" si="75"/>
        <v>508.6</v>
      </c>
      <c r="K229" s="52">
        <f t="shared" si="75"/>
        <v>516.41999999999996</v>
      </c>
      <c r="L229" s="52">
        <f t="shared" si="75"/>
        <v>0</v>
      </c>
      <c r="M229" s="52">
        <f t="shared" si="75"/>
        <v>126.68</v>
      </c>
      <c r="N229" s="52">
        <f t="shared" si="75"/>
        <v>0</v>
      </c>
      <c r="O229" s="52">
        <f t="shared" si="75"/>
        <v>0</v>
      </c>
      <c r="P229" s="52">
        <f t="shared" si="75"/>
        <v>0</v>
      </c>
      <c r="Q229" s="52">
        <f t="shared" si="75"/>
        <v>0</v>
      </c>
      <c r="R229" s="65">
        <f t="shared" si="75"/>
        <v>0</v>
      </c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E229" s="42">
        <f t="shared" si="72"/>
        <v>0</v>
      </c>
      <c r="AF229" s="38"/>
    </row>
    <row r="230" spans="2:32" x14ac:dyDescent="0.2">
      <c r="B230" s="59" t="s">
        <v>453</v>
      </c>
      <c r="C230" s="59" t="s">
        <v>176</v>
      </c>
      <c r="D230" s="60" t="s">
        <v>454</v>
      </c>
      <c r="E230" s="61">
        <f>+'[1]BASE MENSUAL 2022 PRESUP.'!L238</f>
        <v>0</v>
      </c>
      <c r="F230" s="62">
        <v>0</v>
      </c>
      <c r="G230" s="62">
        <v>975.46</v>
      </c>
      <c r="H230" s="62">
        <v>1418.88</v>
      </c>
      <c r="I230" s="62">
        <v>803.34</v>
      </c>
      <c r="J230" s="62">
        <v>508.6</v>
      </c>
      <c r="K230" s="62">
        <v>516.41999999999996</v>
      </c>
      <c r="L230" s="62">
        <v>0</v>
      </c>
      <c r="M230" s="62">
        <v>126.68</v>
      </c>
      <c r="N230" s="62">
        <v>0</v>
      </c>
      <c r="O230" s="62">
        <v>0</v>
      </c>
      <c r="P230" s="62">
        <v>0</v>
      </c>
      <c r="Q230" s="62">
        <v>0</v>
      </c>
      <c r="AD230" s="8">
        <f>4222.7*1.03</f>
        <v>4349.3810000000003</v>
      </c>
      <c r="AE230" s="42">
        <f t="shared" si="72"/>
        <v>4349.3810000000003</v>
      </c>
      <c r="AF230" s="38">
        <f>+E230</f>
        <v>0</v>
      </c>
    </row>
    <row r="231" spans="2:32" x14ac:dyDescent="0.2">
      <c r="B231" s="48" t="s">
        <v>455</v>
      </c>
      <c r="C231" s="48"/>
      <c r="D231" s="50" t="s">
        <v>324</v>
      </c>
      <c r="E231" s="51">
        <f>SUM(E232:E233)</f>
        <v>130054.48</v>
      </c>
      <c r="F231" s="52">
        <f t="shared" ref="F231:Q231" si="76">SUM(F232:F233)</f>
        <v>0</v>
      </c>
      <c r="G231" s="52">
        <f t="shared" si="76"/>
        <v>2461.48</v>
      </c>
      <c r="H231" s="52">
        <f t="shared" si="76"/>
        <v>514.59</v>
      </c>
      <c r="I231" s="52">
        <f t="shared" si="76"/>
        <v>1689.48</v>
      </c>
      <c r="J231" s="52">
        <f t="shared" si="76"/>
        <v>1230.74</v>
      </c>
      <c r="K231" s="52">
        <f t="shared" si="76"/>
        <v>599.06000000000006</v>
      </c>
      <c r="L231" s="52">
        <f t="shared" si="76"/>
        <v>0</v>
      </c>
      <c r="M231" s="52">
        <f t="shared" si="76"/>
        <v>0</v>
      </c>
      <c r="N231" s="52">
        <f t="shared" si="76"/>
        <v>0</v>
      </c>
      <c r="O231" s="52">
        <f t="shared" si="76"/>
        <v>0</v>
      </c>
      <c r="P231" s="52">
        <f t="shared" si="76"/>
        <v>0</v>
      </c>
      <c r="Q231" s="52">
        <f t="shared" si="76"/>
        <v>0</v>
      </c>
      <c r="AE231" s="42">
        <f t="shared" si="72"/>
        <v>-130054.48</v>
      </c>
      <c r="AF231" s="38"/>
    </row>
    <row r="232" spans="2:32" x14ac:dyDescent="0.2">
      <c r="B232" s="59" t="s">
        <v>456</v>
      </c>
      <c r="C232" s="59" t="s">
        <v>27</v>
      </c>
      <c r="D232" s="60" t="s">
        <v>457</v>
      </c>
      <c r="E232" s="61">
        <f>+'[1]BASE MENSUAL 2022 PRESUP.'!L240</f>
        <v>19331.410000000003</v>
      </c>
      <c r="F232" s="62">
        <v>0</v>
      </c>
      <c r="G232" s="62">
        <v>2461.48</v>
      </c>
      <c r="H232" s="62">
        <v>514.59</v>
      </c>
      <c r="I232" s="62">
        <f>514.59+104.72</f>
        <v>619.31000000000006</v>
      </c>
      <c r="J232" s="62">
        <v>0</v>
      </c>
      <c r="K232" s="62">
        <v>0</v>
      </c>
      <c r="L232" s="62">
        <v>0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AD232" s="8">
        <f>3490.66*1.03</f>
        <v>3595.3798000000002</v>
      </c>
      <c r="AE232" s="42">
        <f t="shared" si="72"/>
        <v>-15736.030200000003</v>
      </c>
      <c r="AF232" s="38">
        <f>+E232</f>
        <v>19331.410000000003</v>
      </c>
    </row>
    <row r="233" spans="2:32" x14ac:dyDescent="0.2">
      <c r="B233" s="59" t="s">
        <v>458</v>
      </c>
      <c r="C233" s="59" t="s">
        <v>27</v>
      </c>
      <c r="D233" s="60" t="s">
        <v>459</v>
      </c>
      <c r="E233" s="61">
        <f>+'[1]BASE MENSUAL 2022 PRESUP.'!L241</f>
        <v>110723.06999999999</v>
      </c>
      <c r="F233" s="62">
        <v>0</v>
      </c>
      <c r="G233" s="62">
        <v>0</v>
      </c>
      <c r="H233" s="62">
        <v>0</v>
      </c>
      <c r="I233" s="62">
        <v>1070.17</v>
      </c>
      <c r="J233" s="62">
        <v>1230.74</v>
      </c>
      <c r="K233" s="62">
        <f>514.59+84.47</f>
        <v>599.06000000000006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AD233" s="8">
        <f>2815.5*1.03</f>
        <v>2899.9650000000001</v>
      </c>
      <c r="AE233" s="42">
        <f t="shared" si="72"/>
        <v>-107823.105</v>
      </c>
      <c r="AF233" s="38">
        <f>+E233</f>
        <v>110723.06999999999</v>
      </c>
    </row>
    <row r="234" spans="2:32" x14ac:dyDescent="0.2">
      <c r="B234" s="48" t="s">
        <v>460</v>
      </c>
      <c r="C234" s="48"/>
      <c r="D234" s="50" t="s">
        <v>461</v>
      </c>
      <c r="E234" s="51">
        <f>+E235+E237+E245</f>
        <v>75683.62</v>
      </c>
      <c r="F234" s="52">
        <f t="shared" ref="F234:Q234" si="77">+F235+F237+F245</f>
        <v>52590.45</v>
      </c>
      <c r="G234" s="52">
        <f t="shared" si="77"/>
        <v>49845.93</v>
      </c>
      <c r="H234" s="52">
        <f t="shared" si="77"/>
        <v>49182.520000000004</v>
      </c>
      <c r="I234" s="52">
        <f t="shared" si="77"/>
        <v>28888.739999999998</v>
      </c>
      <c r="J234" s="52">
        <f t="shared" si="77"/>
        <v>1257.05</v>
      </c>
      <c r="K234" s="52">
        <f t="shared" si="77"/>
        <v>121.27</v>
      </c>
      <c r="L234" s="52">
        <f t="shared" si="77"/>
        <v>44.69</v>
      </c>
      <c r="M234" s="52">
        <f t="shared" si="77"/>
        <v>0</v>
      </c>
      <c r="N234" s="52">
        <f t="shared" si="77"/>
        <v>31292.85</v>
      </c>
      <c r="O234" s="52">
        <f t="shared" si="77"/>
        <v>4254.8500000000004</v>
      </c>
      <c r="P234" s="52">
        <f t="shared" si="77"/>
        <v>55468.27</v>
      </c>
      <c r="Q234" s="52">
        <f t="shared" si="77"/>
        <v>0</v>
      </c>
      <c r="AE234" s="42">
        <f t="shared" si="72"/>
        <v>-75683.62</v>
      </c>
      <c r="AF234" s="38"/>
    </row>
    <row r="235" spans="2:32" x14ac:dyDescent="0.2">
      <c r="B235" s="48" t="s">
        <v>462</v>
      </c>
      <c r="C235" s="48"/>
      <c r="D235" s="50" t="s">
        <v>463</v>
      </c>
      <c r="E235" s="51">
        <f>+E236</f>
        <v>0</v>
      </c>
      <c r="F235" s="52">
        <f t="shared" ref="F235:Q235" si="78">+F236</f>
        <v>0</v>
      </c>
      <c r="G235" s="52">
        <f t="shared" si="78"/>
        <v>0</v>
      </c>
      <c r="H235" s="52">
        <f t="shared" si="78"/>
        <v>0</v>
      </c>
      <c r="I235" s="52">
        <f t="shared" si="78"/>
        <v>0</v>
      </c>
      <c r="J235" s="52">
        <f t="shared" si="78"/>
        <v>0</v>
      </c>
      <c r="K235" s="52">
        <f t="shared" si="78"/>
        <v>0</v>
      </c>
      <c r="L235" s="52">
        <f t="shared" si="78"/>
        <v>0</v>
      </c>
      <c r="M235" s="52">
        <f t="shared" si="78"/>
        <v>0</v>
      </c>
      <c r="N235" s="52">
        <f t="shared" si="78"/>
        <v>0</v>
      </c>
      <c r="O235" s="52">
        <f t="shared" si="78"/>
        <v>0</v>
      </c>
      <c r="P235" s="52">
        <f t="shared" si="78"/>
        <v>1864.3</v>
      </c>
      <c r="Q235" s="52">
        <f t="shared" si="78"/>
        <v>0</v>
      </c>
      <c r="AE235" s="42">
        <f t="shared" si="72"/>
        <v>0</v>
      </c>
      <c r="AF235" s="38"/>
    </row>
    <row r="236" spans="2:32" x14ac:dyDescent="0.2">
      <c r="B236" s="59" t="s">
        <v>464</v>
      </c>
      <c r="C236" s="59" t="s">
        <v>135</v>
      </c>
      <c r="D236" s="60" t="s">
        <v>142</v>
      </c>
      <c r="E236" s="61">
        <f>+'[1]BASE MENSUAL 2022 PRESUP.'!L244</f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f>1810+54.3</f>
        <v>1864.3</v>
      </c>
      <c r="Q236" s="62">
        <v>0</v>
      </c>
      <c r="AD236" s="8">
        <f>1810*1.03</f>
        <v>1864.3</v>
      </c>
      <c r="AE236" s="42">
        <f t="shared" si="72"/>
        <v>1864.3</v>
      </c>
      <c r="AF236" s="38">
        <f>+E236</f>
        <v>0</v>
      </c>
    </row>
    <row r="237" spans="2:32" x14ac:dyDescent="0.2">
      <c r="B237" s="48" t="s">
        <v>465</v>
      </c>
      <c r="C237" s="48"/>
      <c r="D237" s="50" t="s">
        <v>466</v>
      </c>
      <c r="E237" s="51">
        <f>SUM(E238:E244)</f>
        <v>2939.12</v>
      </c>
      <c r="F237" s="52">
        <f t="shared" ref="F237:R237" si="79">SUM(F238:F244)</f>
        <v>26110.449999999997</v>
      </c>
      <c r="G237" s="52">
        <f t="shared" si="79"/>
        <v>21945.93</v>
      </c>
      <c r="H237" s="52">
        <f t="shared" si="79"/>
        <v>15142.52</v>
      </c>
      <c r="I237" s="52">
        <f t="shared" si="79"/>
        <v>10928.74</v>
      </c>
      <c r="J237" s="52">
        <f t="shared" si="79"/>
        <v>1257.05</v>
      </c>
      <c r="K237" s="52">
        <f t="shared" si="79"/>
        <v>121.27</v>
      </c>
      <c r="L237" s="52">
        <f t="shared" si="79"/>
        <v>44.69</v>
      </c>
      <c r="M237" s="52">
        <f t="shared" si="79"/>
        <v>0</v>
      </c>
      <c r="N237" s="52">
        <f t="shared" si="79"/>
        <v>440.34999999999997</v>
      </c>
      <c r="O237" s="52">
        <f t="shared" si="79"/>
        <v>1774.57</v>
      </c>
      <c r="P237" s="52">
        <f t="shared" si="79"/>
        <v>2905.37</v>
      </c>
      <c r="Q237" s="52">
        <f t="shared" si="79"/>
        <v>0</v>
      </c>
      <c r="R237" s="65">
        <f t="shared" si="79"/>
        <v>0</v>
      </c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E237" s="42">
        <f t="shared" si="72"/>
        <v>-2939.12</v>
      </c>
      <c r="AF237" s="38"/>
    </row>
    <row r="238" spans="2:32" x14ac:dyDescent="0.2">
      <c r="B238" s="59" t="s">
        <v>467</v>
      </c>
      <c r="C238" s="59" t="s">
        <v>242</v>
      </c>
      <c r="D238" s="60" t="s">
        <v>468</v>
      </c>
      <c r="E238" s="61">
        <f>+'[1]BASE MENSUAL 2022 PRESUP.'!L246</f>
        <v>364.92</v>
      </c>
      <c r="F238" s="62">
        <v>0</v>
      </c>
      <c r="G238" s="62">
        <v>0</v>
      </c>
      <c r="H238" s="62">
        <v>0</v>
      </c>
      <c r="I238" s="62">
        <v>0</v>
      </c>
      <c r="J238" s="62">
        <v>0</v>
      </c>
      <c r="K238" s="62">
        <v>44.69</v>
      </c>
      <c r="L238" s="62">
        <v>44.69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AD238" s="8">
        <f>44.69*1.03</f>
        <v>46.030699999999996</v>
      </c>
      <c r="AE238" s="42">
        <f t="shared" si="72"/>
        <v>-318.88930000000005</v>
      </c>
      <c r="AF238" s="38">
        <f t="shared" ref="AF238:AF244" si="80">+E238</f>
        <v>364.92</v>
      </c>
    </row>
    <row r="239" spans="2:32" x14ac:dyDescent="0.2">
      <c r="B239" s="59" t="s">
        <v>469</v>
      </c>
      <c r="C239" s="59" t="s">
        <v>242</v>
      </c>
      <c r="D239" s="60" t="s">
        <v>470</v>
      </c>
      <c r="E239" s="61">
        <f>+'[1]BASE MENSUAL 2022 PRESUP.'!L247</f>
        <v>792.62999999999988</v>
      </c>
      <c r="F239" s="62">
        <v>0</v>
      </c>
      <c r="G239" s="62">
        <v>0</v>
      </c>
      <c r="H239" s="62">
        <v>176.14</v>
      </c>
      <c r="I239" s="62">
        <v>352.28</v>
      </c>
      <c r="J239" s="62">
        <v>76.58</v>
      </c>
      <c r="K239" s="62">
        <v>76.58</v>
      </c>
      <c r="L239" s="62">
        <v>0</v>
      </c>
      <c r="M239" s="62">
        <v>0</v>
      </c>
      <c r="N239" s="62">
        <v>264.20999999999998</v>
      </c>
      <c r="O239" s="62">
        <v>88.07</v>
      </c>
      <c r="P239" s="62">
        <v>0</v>
      </c>
      <c r="Q239" s="62">
        <v>0</v>
      </c>
      <c r="AD239" s="8">
        <f>945.79*1.03</f>
        <v>974.16369999999995</v>
      </c>
      <c r="AE239" s="42">
        <f t="shared" si="72"/>
        <v>181.53370000000007</v>
      </c>
      <c r="AF239" s="38">
        <f t="shared" si="80"/>
        <v>792.62999999999988</v>
      </c>
    </row>
    <row r="240" spans="2:32" x14ac:dyDescent="0.2">
      <c r="B240" s="59" t="s">
        <v>471</v>
      </c>
      <c r="C240" s="59" t="s">
        <v>242</v>
      </c>
      <c r="D240" s="60" t="s">
        <v>472</v>
      </c>
      <c r="E240" s="61">
        <f>+'[1]BASE MENSUAL 2022 PRESUP.'!L248</f>
        <v>1232.9099999999999</v>
      </c>
      <c r="F240" s="62">
        <v>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176.14</v>
      </c>
      <c r="O240" s="62">
        <v>12.91</v>
      </c>
      <c r="P240" s="62">
        <v>0</v>
      </c>
      <c r="Q240" s="62">
        <v>0</v>
      </c>
      <c r="AD240" s="8">
        <f>176.14*1.03</f>
        <v>181.42419999999998</v>
      </c>
      <c r="AE240" s="42">
        <f t="shared" si="72"/>
        <v>-1051.4857999999999</v>
      </c>
      <c r="AF240" s="38">
        <f t="shared" si="80"/>
        <v>1232.9099999999999</v>
      </c>
    </row>
    <row r="241" spans="2:32" x14ac:dyDescent="0.2">
      <c r="B241" s="59" t="s">
        <v>473</v>
      </c>
      <c r="C241" s="59" t="s">
        <v>242</v>
      </c>
      <c r="D241" s="60" t="s">
        <v>474</v>
      </c>
      <c r="E241" s="61">
        <f>+'[1]BASE MENSUAL 2022 PRESUP.'!L249</f>
        <v>0</v>
      </c>
      <c r="F241" s="62">
        <v>25592.92</v>
      </c>
      <c r="G241" s="62">
        <v>10742.54</v>
      </c>
      <c r="H241" s="62">
        <v>11837.7</v>
      </c>
      <c r="I241" s="62">
        <v>2745.92</v>
      </c>
      <c r="J241" s="62">
        <v>1180.47</v>
      </c>
      <c r="K241" s="62">
        <v>0</v>
      </c>
      <c r="L241" s="62">
        <v>0</v>
      </c>
      <c r="M241" s="62">
        <v>0</v>
      </c>
      <c r="N241" s="62">
        <v>0</v>
      </c>
      <c r="O241" s="62">
        <v>1562.99</v>
      </c>
      <c r="P241" s="62">
        <v>0</v>
      </c>
      <c r="Q241" s="62">
        <v>0</v>
      </c>
      <c r="AD241" s="8">
        <f>52099.55*1.03</f>
        <v>53662.536500000002</v>
      </c>
      <c r="AE241" s="42">
        <f t="shared" si="72"/>
        <v>53662.536500000002</v>
      </c>
      <c r="AF241" s="38">
        <f t="shared" si="80"/>
        <v>0</v>
      </c>
    </row>
    <row r="242" spans="2:32" x14ac:dyDescent="0.2">
      <c r="B242" s="59" t="s">
        <v>475</v>
      </c>
      <c r="C242" s="59" t="s">
        <v>242</v>
      </c>
      <c r="D242" s="60" t="s">
        <v>476</v>
      </c>
      <c r="E242" s="61">
        <f>+'[1]BASE MENSUAL 2022 PRESUP.'!L250</f>
        <v>0</v>
      </c>
      <c r="F242" s="62">
        <v>244.18</v>
      </c>
      <c r="G242" s="62">
        <v>488.34</v>
      </c>
      <c r="H242" s="62">
        <v>244.17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110.6</v>
      </c>
      <c r="P242" s="62">
        <v>216.88</v>
      </c>
      <c r="Q242" s="62">
        <v>0</v>
      </c>
      <c r="AD242" s="8">
        <f>1193.57*1.03</f>
        <v>1229.3770999999999</v>
      </c>
      <c r="AE242" s="42">
        <f t="shared" si="72"/>
        <v>1229.3770999999999</v>
      </c>
      <c r="AF242" s="38">
        <f t="shared" si="80"/>
        <v>0</v>
      </c>
    </row>
    <row r="243" spans="2:32" x14ac:dyDescent="0.2">
      <c r="B243" s="59" t="s">
        <v>477</v>
      </c>
      <c r="C243" s="59" t="s">
        <v>242</v>
      </c>
      <c r="D243" s="60" t="s">
        <v>478</v>
      </c>
      <c r="E243" s="61">
        <f>+'[1]BASE MENSUAL 2022 PRESUP.'!L251</f>
        <v>548.66</v>
      </c>
      <c r="F243" s="62">
        <v>273.35000000000002</v>
      </c>
      <c r="G243" s="62">
        <v>274.33</v>
      </c>
      <c r="H243" s="62">
        <v>274.33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AD243" s="8">
        <f>822.01*1.03</f>
        <v>846.6703</v>
      </c>
      <c r="AE243" s="42">
        <f t="shared" si="72"/>
        <v>298.01030000000003</v>
      </c>
      <c r="AF243" s="38">
        <f t="shared" si="80"/>
        <v>548.66</v>
      </c>
    </row>
    <row r="244" spans="2:32" x14ac:dyDescent="0.2">
      <c r="B244" s="59" t="s">
        <v>479</v>
      </c>
      <c r="C244" s="59" t="s">
        <v>242</v>
      </c>
      <c r="D244" s="60" t="s">
        <v>480</v>
      </c>
      <c r="E244" s="61">
        <f>+'[1]BASE MENSUAL 2022 PRESUP.'!L252</f>
        <v>0</v>
      </c>
      <c r="F244" s="62">
        <v>0</v>
      </c>
      <c r="G244" s="62">
        <v>10440.719999999999</v>
      </c>
      <c r="H244" s="62">
        <v>2610.1799999999998</v>
      </c>
      <c r="I244" s="62">
        <v>7830.54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2688.49</v>
      </c>
      <c r="Q244" s="62">
        <v>0</v>
      </c>
      <c r="AD244" s="8">
        <f>23440.44*1.03</f>
        <v>24143.653200000001</v>
      </c>
      <c r="AE244" s="42">
        <f t="shared" si="72"/>
        <v>24143.653200000001</v>
      </c>
      <c r="AF244" s="38">
        <f t="shared" si="80"/>
        <v>0</v>
      </c>
    </row>
    <row r="245" spans="2:32" x14ac:dyDescent="0.2">
      <c r="B245" s="48" t="s">
        <v>481</v>
      </c>
      <c r="C245" s="48"/>
      <c r="D245" s="50" t="s">
        <v>261</v>
      </c>
      <c r="E245" s="51">
        <f>+E246</f>
        <v>72744.5</v>
      </c>
      <c r="F245" s="52">
        <f t="shared" ref="F245:Q246" si="81">+F246</f>
        <v>26480</v>
      </c>
      <c r="G245" s="52">
        <f t="shared" si="81"/>
        <v>27900</v>
      </c>
      <c r="H245" s="52">
        <f t="shared" si="81"/>
        <v>34040</v>
      </c>
      <c r="I245" s="52">
        <f t="shared" si="81"/>
        <v>17960</v>
      </c>
      <c r="J245" s="52">
        <f t="shared" si="81"/>
        <v>0</v>
      </c>
      <c r="K245" s="52">
        <f t="shared" si="81"/>
        <v>0</v>
      </c>
      <c r="L245" s="52">
        <f t="shared" si="81"/>
        <v>0</v>
      </c>
      <c r="M245" s="52">
        <f t="shared" si="81"/>
        <v>0</v>
      </c>
      <c r="N245" s="52">
        <f t="shared" si="81"/>
        <v>30852.5</v>
      </c>
      <c r="O245" s="52">
        <f t="shared" si="81"/>
        <v>2480.2800000000002</v>
      </c>
      <c r="P245" s="52">
        <f t="shared" si="81"/>
        <v>50698.6</v>
      </c>
      <c r="Q245" s="52">
        <f t="shared" si="81"/>
        <v>0</v>
      </c>
      <c r="AE245" s="42">
        <f t="shared" si="72"/>
        <v>-72744.5</v>
      </c>
      <c r="AF245" s="38"/>
    </row>
    <row r="246" spans="2:32" x14ac:dyDescent="0.2">
      <c r="B246" s="48" t="s">
        <v>482</v>
      </c>
      <c r="C246" s="48"/>
      <c r="D246" s="50" t="s">
        <v>261</v>
      </c>
      <c r="E246" s="51">
        <f>+E247</f>
        <v>72744.5</v>
      </c>
      <c r="F246" s="52">
        <f t="shared" si="81"/>
        <v>26480</v>
      </c>
      <c r="G246" s="52">
        <f t="shared" si="81"/>
        <v>27900</v>
      </c>
      <c r="H246" s="52">
        <f t="shared" si="81"/>
        <v>34040</v>
      </c>
      <c r="I246" s="52">
        <f t="shared" si="81"/>
        <v>17960</v>
      </c>
      <c r="J246" s="52">
        <f t="shared" si="81"/>
        <v>0</v>
      </c>
      <c r="K246" s="52">
        <f t="shared" si="81"/>
        <v>0</v>
      </c>
      <c r="L246" s="52">
        <f t="shared" si="81"/>
        <v>0</v>
      </c>
      <c r="M246" s="52">
        <f t="shared" si="81"/>
        <v>0</v>
      </c>
      <c r="N246" s="52">
        <f t="shared" si="81"/>
        <v>30852.5</v>
      </c>
      <c r="O246" s="52">
        <f t="shared" si="81"/>
        <v>2480.2800000000002</v>
      </c>
      <c r="P246" s="52">
        <f t="shared" si="81"/>
        <v>50698.6</v>
      </c>
      <c r="Q246" s="52">
        <f t="shared" si="81"/>
        <v>0</v>
      </c>
      <c r="AE246" s="42">
        <f t="shared" si="72"/>
        <v>-72744.5</v>
      </c>
      <c r="AF246" s="38"/>
    </row>
    <row r="247" spans="2:32" x14ac:dyDescent="0.2">
      <c r="B247" s="59" t="s">
        <v>483</v>
      </c>
      <c r="C247" s="59" t="s">
        <v>27</v>
      </c>
      <c r="D247" s="60" t="s">
        <v>484</v>
      </c>
      <c r="E247" s="61">
        <f>+'[1]BASE MENSUAL 2022 PRESUP.'!L255</f>
        <v>72744.5</v>
      </c>
      <c r="F247" s="62">
        <v>26480</v>
      </c>
      <c r="G247" s="62">
        <v>27900</v>
      </c>
      <c r="H247" s="62">
        <v>34040</v>
      </c>
      <c r="I247" s="62">
        <v>17960</v>
      </c>
      <c r="J247" s="62">
        <v>0</v>
      </c>
      <c r="K247" s="62">
        <v>0</v>
      </c>
      <c r="L247" s="62">
        <v>0</v>
      </c>
      <c r="M247" s="62">
        <v>0</v>
      </c>
      <c r="N247" s="62">
        <f>712.5+30000+140</f>
        <v>30852.5</v>
      </c>
      <c r="O247" s="62">
        <v>2480.2800000000002</v>
      </c>
      <c r="P247" s="62">
        <v>50698.6</v>
      </c>
      <c r="Q247" s="62">
        <v>0</v>
      </c>
      <c r="AD247" s="8">
        <f>208551.38*1.03</f>
        <v>214807.92140000002</v>
      </c>
      <c r="AE247" s="42">
        <f t="shared" si="72"/>
        <v>142063.42140000002</v>
      </c>
      <c r="AF247" s="38">
        <f>+E247</f>
        <v>72744.5</v>
      </c>
    </row>
    <row r="248" spans="2:32" s="53" customFormat="1" x14ac:dyDescent="0.2">
      <c r="B248" s="54" t="s">
        <v>485</v>
      </c>
      <c r="C248" s="54"/>
      <c r="D248" s="55" t="s">
        <v>486</v>
      </c>
      <c r="E248" s="56">
        <f>+E249</f>
        <v>1259873.5</v>
      </c>
      <c r="F248" s="57">
        <f t="shared" ref="F248:Q248" si="82">+F249</f>
        <v>225337.25000000003</v>
      </c>
      <c r="G248" s="57">
        <f t="shared" si="82"/>
        <v>336259.62</v>
      </c>
      <c r="H248" s="57">
        <f t="shared" si="82"/>
        <v>262638.71000000002</v>
      </c>
      <c r="I248" s="57">
        <f t="shared" si="82"/>
        <v>272999.19</v>
      </c>
      <c r="J248" s="57">
        <f t="shared" si="82"/>
        <v>251179.37</v>
      </c>
      <c r="K248" s="57">
        <f t="shared" si="82"/>
        <v>195331.26</v>
      </c>
      <c r="L248" s="57">
        <f t="shared" si="82"/>
        <v>87649.253333333327</v>
      </c>
      <c r="M248" s="57">
        <f t="shared" si="82"/>
        <v>82014.553333333315</v>
      </c>
      <c r="N248" s="57">
        <f t="shared" si="82"/>
        <v>160902.83323333334</v>
      </c>
      <c r="O248" s="57">
        <f t="shared" si="82"/>
        <v>56947.629800000002</v>
      </c>
      <c r="P248" s="57">
        <f t="shared" si="82"/>
        <v>56498.569699999993</v>
      </c>
      <c r="Q248" s="57">
        <f t="shared" si="82"/>
        <v>38274.85</v>
      </c>
      <c r="R248" s="71"/>
      <c r="S248" s="24"/>
      <c r="T248" s="24"/>
      <c r="U248" s="24"/>
      <c r="V248" s="24"/>
      <c r="W248" s="24"/>
      <c r="X248" s="24"/>
      <c r="Y248" s="24"/>
      <c r="Z248" s="24"/>
      <c r="AD248" s="8"/>
      <c r="AE248" s="42">
        <f t="shared" si="72"/>
        <v>-1259873.5</v>
      </c>
      <c r="AF248" s="67"/>
    </row>
    <row r="249" spans="2:32" x14ac:dyDescent="0.2">
      <c r="B249" s="48" t="s">
        <v>487</v>
      </c>
      <c r="C249" s="48"/>
      <c r="D249" s="50" t="s">
        <v>488</v>
      </c>
      <c r="E249" s="51">
        <f>+E250+E256+E261+E268+E271+E275+E280+E266</f>
        <v>1259873.5</v>
      </c>
      <c r="F249" s="52">
        <f t="shared" ref="F249:Q249" si="83">+F250+F256+F261+F268+F271+F275+F280</f>
        <v>225337.25000000003</v>
      </c>
      <c r="G249" s="52">
        <f t="shared" si="83"/>
        <v>336259.62</v>
      </c>
      <c r="H249" s="52">
        <f t="shared" si="83"/>
        <v>262638.71000000002</v>
      </c>
      <c r="I249" s="52">
        <f t="shared" si="83"/>
        <v>272999.19</v>
      </c>
      <c r="J249" s="52">
        <f t="shared" si="83"/>
        <v>251179.37</v>
      </c>
      <c r="K249" s="52">
        <f t="shared" si="83"/>
        <v>195331.26</v>
      </c>
      <c r="L249" s="52">
        <f t="shared" si="83"/>
        <v>87649.253333333327</v>
      </c>
      <c r="M249" s="52">
        <f t="shared" si="83"/>
        <v>82014.553333333315</v>
      </c>
      <c r="N249" s="52">
        <f t="shared" si="83"/>
        <v>160902.83323333334</v>
      </c>
      <c r="O249" s="52">
        <f t="shared" si="83"/>
        <v>56947.629800000002</v>
      </c>
      <c r="P249" s="52">
        <f t="shared" si="83"/>
        <v>56498.569699999993</v>
      </c>
      <c r="Q249" s="52">
        <f t="shared" si="83"/>
        <v>38274.85</v>
      </c>
      <c r="AE249" s="42">
        <f t="shared" si="72"/>
        <v>-1259873.5</v>
      </c>
      <c r="AF249" s="38"/>
    </row>
    <row r="250" spans="2:32" x14ac:dyDescent="0.2">
      <c r="B250" s="48" t="s">
        <v>489</v>
      </c>
      <c r="C250" s="48"/>
      <c r="D250" s="50" t="s">
        <v>490</v>
      </c>
      <c r="E250" s="51">
        <f>SUM(E251:E255)</f>
        <v>213708.12</v>
      </c>
      <c r="F250" s="52">
        <f t="shared" ref="F250:Q250" si="84">SUM(F251:F255)</f>
        <v>29322.370000000003</v>
      </c>
      <c r="G250" s="52">
        <f t="shared" si="84"/>
        <v>32113.71</v>
      </c>
      <c r="H250" s="52">
        <f t="shared" si="84"/>
        <v>50599.37</v>
      </c>
      <c r="I250" s="52">
        <f t="shared" si="84"/>
        <v>24200.989999999998</v>
      </c>
      <c r="J250" s="52">
        <f t="shared" si="84"/>
        <v>30691.370000000003</v>
      </c>
      <c r="K250" s="52">
        <f t="shared" si="84"/>
        <v>26599.71</v>
      </c>
      <c r="L250" s="52">
        <f t="shared" si="84"/>
        <v>17542.8</v>
      </c>
      <c r="M250" s="52">
        <f t="shared" si="84"/>
        <v>19252.149999999998</v>
      </c>
      <c r="N250" s="52">
        <f t="shared" si="84"/>
        <v>51907.769899999999</v>
      </c>
      <c r="O250" s="52">
        <f t="shared" si="84"/>
        <v>11661.549800000001</v>
      </c>
      <c r="P250" s="52">
        <f t="shared" si="84"/>
        <v>21763.329700000002</v>
      </c>
      <c r="Q250" s="52">
        <f t="shared" si="84"/>
        <v>20157.989999999998</v>
      </c>
      <c r="AE250" s="42">
        <f t="shared" si="72"/>
        <v>-213708.12</v>
      </c>
      <c r="AF250" s="38"/>
    </row>
    <row r="251" spans="2:32" x14ac:dyDescent="0.2">
      <c r="B251" s="59" t="s">
        <v>491</v>
      </c>
      <c r="C251" s="59" t="s">
        <v>27</v>
      </c>
      <c r="D251" s="60" t="s">
        <v>492</v>
      </c>
      <c r="E251" s="61">
        <f>+'[1]BASE MENSUAL 2022 PRESUP.'!L259</f>
        <v>32906</v>
      </c>
      <c r="F251" s="62">
        <v>520</v>
      </c>
      <c r="G251" s="62">
        <v>520</v>
      </c>
      <c r="H251" s="62">
        <v>25147</v>
      </c>
      <c r="I251" s="62">
        <v>2443</v>
      </c>
      <c r="J251" s="62">
        <v>2209</v>
      </c>
      <c r="K251" s="62">
        <v>4316</v>
      </c>
      <c r="L251" s="62">
        <v>1190.6400000000001</v>
      </c>
      <c r="M251" s="62">
        <v>0</v>
      </c>
      <c r="N251" s="62">
        <v>4533</v>
      </c>
      <c r="O251" s="62">
        <v>0</v>
      </c>
      <c r="P251" s="62">
        <v>0</v>
      </c>
      <c r="Q251" s="62">
        <v>0</v>
      </c>
      <c r="AD251" s="8">
        <f>39688*1.03</f>
        <v>40878.639999999999</v>
      </c>
      <c r="AE251" s="42">
        <f t="shared" si="72"/>
        <v>7972.6399999999994</v>
      </c>
      <c r="AF251" s="38">
        <f>+E251</f>
        <v>32906</v>
      </c>
    </row>
    <row r="252" spans="2:32" x14ac:dyDescent="0.2">
      <c r="B252" s="59" t="s">
        <v>493</v>
      </c>
      <c r="C252" s="59" t="s">
        <v>27</v>
      </c>
      <c r="D252" s="60" t="s">
        <v>494</v>
      </c>
      <c r="E252" s="61">
        <f>+'[1]BASE MENSUAL 2022 PRESUP.'!L260</f>
        <v>74715</v>
      </c>
      <c r="F252" s="62">
        <v>14840</v>
      </c>
      <c r="G252" s="62">
        <v>11460</v>
      </c>
      <c r="H252" s="62">
        <v>11490</v>
      </c>
      <c r="I252" s="62">
        <v>11080</v>
      </c>
      <c r="J252" s="62">
        <v>14520</v>
      </c>
      <c r="K252" s="62">
        <v>9875</v>
      </c>
      <c r="L252" s="62">
        <v>0</v>
      </c>
      <c r="M252" s="62">
        <v>3926.1</v>
      </c>
      <c r="N252" s="62">
        <v>36590</v>
      </c>
      <c r="O252" s="62">
        <v>770</v>
      </c>
      <c r="P252" s="62">
        <v>10765</v>
      </c>
      <c r="Q252" s="62">
        <v>9480</v>
      </c>
      <c r="AD252" s="8">
        <f>130870*1.03</f>
        <v>134796.1</v>
      </c>
      <c r="AE252" s="42">
        <f t="shared" si="72"/>
        <v>60081.100000000006</v>
      </c>
      <c r="AF252" s="38">
        <f>+E252</f>
        <v>74715</v>
      </c>
    </row>
    <row r="253" spans="2:32" x14ac:dyDescent="0.2">
      <c r="B253" s="59" t="s">
        <v>495</v>
      </c>
      <c r="C253" s="59" t="s">
        <v>27</v>
      </c>
      <c r="D253" s="60" t="s">
        <v>496</v>
      </c>
      <c r="E253" s="61">
        <f>+'[1]BASE MENSUAL 2022 PRESUP.'!L261</f>
        <v>106087.12</v>
      </c>
      <c r="F253" s="62">
        <v>13962.37</v>
      </c>
      <c r="G253" s="62">
        <v>12408.71</v>
      </c>
      <c r="H253" s="62">
        <v>13962.37</v>
      </c>
      <c r="I253" s="62">
        <v>10677.99</v>
      </c>
      <c r="J253" s="62">
        <v>13962.37</v>
      </c>
      <c r="K253" s="62">
        <v>12408.71</v>
      </c>
      <c r="L253" s="62">
        <v>16352.16</v>
      </c>
      <c r="M253" s="62">
        <v>15326.05</v>
      </c>
      <c r="N253" s="62">
        <f>10677.99*1.01</f>
        <v>10784.769899999999</v>
      </c>
      <c r="O253" s="62">
        <f>10677.99*1.02</f>
        <v>10891.549800000001</v>
      </c>
      <c r="P253" s="62">
        <f>10677.99*1.03</f>
        <v>10998.3297</v>
      </c>
      <c r="Q253" s="62">
        <v>10677.99</v>
      </c>
      <c r="AD253" s="8">
        <f>106991.42*1.03</f>
        <v>110201.1626</v>
      </c>
      <c r="AE253" s="42">
        <f t="shared" si="72"/>
        <v>4114.0426000000007</v>
      </c>
      <c r="AF253" s="38">
        <f>+E253</f>
        <v>106087.12</v>
      </c>
    </row>
    <row r="254" spans="2:32" x14ac:dyDescent="0.2">
      <c r="B254" s="59" t="s">
        <v>497</v>
      </c>
      <c r="C254" s="59" t="s">
        <v>27</v>
      </c>
      <c r="D254" s="60" t="s">
        <v>498</v>
      </c>
      <c r="E254" s="61">
        <f>+'[1]BASE MENSUAL 2022 PRESUP.'!L262</f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AE254" s="42">
        <f t="shared" si="72"/>
        <v>0</v>
      </c>
      <c r="AF254" s="38">
        <f>+E254</f>
        <v>0</v>
      </c>
    </row>
    <row r="255" spans="2:32" x14ac:dyDescent="0.2">
      <c r="B255" s="59" t="s">
        <v>499</v>
      </c>
      <c r="C255" s="59" t="s">
        <v>27</v>
      </c>
      <c r="D255" s="60" t="s">
        <v>500</v>
      </c>
      <c r="E255" s="61">
        <f>+'[1]BASE MENSUAL 2022 PRESUP.'!L263</f>
        <v>0</v>
      </c>
      <c r="F255" s="62">
        <v>0</v>
      </c>
      <c r="G255" s="62">
        <f>7500+225</f>
        <v>7725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AD255" s="8">
        <f>7500*1.03</f>
        <v>7725</v>
      </c>
      <c r="AE255" s="42">
        <f t="shared" si="72"/>
        <v>7725</v>
      </c>
      <c r="AF255" s="38">
        <f>+E255</f>
        <v>0</v>
      </c>
    </row>
    <row r="256" spans="2:32" x14ac:dyDescent="0.2">
      <c r="B256" s="48" t="s">
        <v>501</v>
      </c>
      <c r="C256" s="48"/>
      <c r="D256" s="50" t="s">
        <v>502</v>
      </c>
      <c r="E256" s="51">
        <f>+E257+E258+E259+E260</f>
        <v>44652.04</v>
      </c>
      <c r="F256" s="52">
        <f t="shared" ref="F256:Q256" si="85">+F257</f>
        <v>2337.84</v>
      </c>
      <c r="G256" s="52">
        <f t="shared" si="85"/>
        <v>5600</v>
      </c>
      <c r="H256" s="52">
        <f t="shared" si="85"/>
        <v>1600</v>
      </c>
      <c r="I256" s="52">
        <f t="shared" si="85"/>
        <v>0</v>
      </c>
      <c r="J256" s="52">
        <f t="shared" si="85"/>
        <v>5600</v>
      </c>
      <c r="K256" s="52">
        <f t="shared" si="85"/>
        <v>3200</v>
      </c>
      <c r="L256" s="52">
        <f t="shared" si="85"/>
        <v>2100</v>
      </c>
      <c r="M256" s="52">
        <f t="shared" si="85"/>
        <v>2300</v>
      </c>
      <c r="N256" s="52">
        <f t="shared" si="85"/>
        <v>1952.66</v>
      </c>
      <c r="O256" s="52">
        <f t="shared" si="85"/>
        <v>1552</v>
      </c>
      <c r="P256" s="52">
        <f t="shared" si="85"/>
        <v>10145.99</v>
      </c>
      <c r="Q256" s="52">
        <f t="shared" si="85"/>
        <v>2328</v>
      </c>
      <c r="AE256" s="42">
        <f t="shared" si="72"/>
        <v>-44652.04</v>
      </c>
      <c r="AF256" s="38"/>
    </row>
    <row r="257" spans="2:32" x14ac:dyDescent="0.2">
      <c r="B257" s="59" t="s">
        <v>503</v>
      </c>
      <c r="C257" s="59" t="s">
        <v>176</v>
      </c>
      <c r="D257" s="60" t="s">
        <v>504</v>
      </c>
      <c r="E257" s="61">
        <f>+'[1]BASE MENSUAL 2022 PRESUP.'!L265</f>
        <v>29652.04</v>
      </c>
      <c r="F257" s="62">
        <v>2337.84</v>
      </c>
      <c r="G257" s="62">
        <v>5600</v>
      </c>
      <c r="H257" s="62">
        <v>1600</v>
      </c>
      <c r="I257" s="62">
        <v>0</v>
      </c>
      <c r="J257" s="62">
        <v>5600</v>
      </c>
      <c r="K257" s="62">
        <v>3200</v>
      </c>
      <c r="L257" s="62">
        <v>2100</v>
      </c>
      <c r="M257" s="62">
        <v>2300</v>
      </c>
      <c r="N257" s="62">
        <v>1952.66</v>
      </c>
      <c r="O257" s="62">
        <v>1552</v>
      </c>
      <c r="P257" s="62">
        <v>10145.99</v>
      </c>
      <c r="Q257" s="62">
        <v>2328</v>
      </c>
      <c r="AD257" s="8">
        <f>37588.83*1.03</f>
        <v>38716.494900000005</v>
      </c>
      <c r="AE257" s="42">
        <f t="shared" si="72"/>
        <v>9064.4549000000043</v>
      </c>
      <c r="AF257" s="38">
        <f>+E257</f>
        <v>29652.04</v>
      </c>
    </row>
    <row r="258" spans="2:32" x14ac:dyDescent="0.2">
      <c r="B258" s="59" t="s">
        <v>505</v>
      </c>
      <c r="C258" s="59" t="s">
        <v>176</v>
      </c>
      <c r="D258" s="60" t="s">
        <v>506</v>
      </c>
      <c r="E258" s="61">
        <f>+'[1]BASE MENSUAL 2022 PRESUP.'!L266</f>
        <v>4000</v>
      </c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AF258" s="38"/>
    </row>
    <row r="259" spans="2:32" x14ac:dyDescent="0.2">
      <c r="B259" s="59" t="s">
        <v>507</v>
      </c>
      <c r="C259" s="59" t="s">
        <v>176</v>
      </c>
      <c r="D259" s="60" t="s">
        <v>508</v>
      </c>
      <c r="E259" s="61">
        <f>+'[1]BASE MENSUAL 2022 PRESUP.'!L267</f>
        <v>2000</v>
      </c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AF259" s="38"/>
    </row>
    <row r="260" spans="2:32" x14ac:dyDescent="0.2">
      <c r="B260" s="59" t="s">
        <v>509</v>
      </c>
      <c r="C260" s="59" t="s">
        <v>176</v>
      </c>
      <c r="D260" s="60" t="s">
        <v>510</v>
      </c>
      <c r="E260" s="61">
        <f>+'[1]BASE MENSUAL 2022 PRESUP.'!L268</f>
        <v>9000</v>
      </c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AF260" s="38"/>
    </row>
    <row r="261" spans="2:32" x14ac:dyDescent="0.2">
      <c r="B261" s="48" t="s">
        <v>511</v>
      </c>
      <c r="C261" s="48"/>
      <c r="D261" s="50" t="s">
        <v>512</v>
      </c>
      <c r="E261" s="51">
        <f>SUM(E262:E265)</f>
        <v>21580</v>
      </c>
      <c r="F261" s="52">
        <f t="shared" ref="F261:Q261" si="86">SUM(F262:F265)</f>
        <v>6320</v>
      </c>
      <c r="G261" s="52">
        <f t="shared" si="86"/>
        <v>5840</v>
      </c>
      <c r="H261" s="52">
        <f t="shared" si="86"/>
        <v>6465</v>
      </c>
      <c r="I261" s="52">
        <f t="shared" si="86"/>
        <v>5565</v>
      </c>
      <c r="J261" s="52">
        <f t="shared" si="86"/>
        <v>1866.55</v>
      </c>
      <c r="K261" s="52">
        <f t="shared" si="86"/>
        <v>4815</v>
      </c>
      <c r="L261" s="52">
        <f t="shared" si="86"/>
        <v>5208.3666666666668</v>
      </c>
      <c r="M261" s="52">
        <f t="shared" si="86"/>
        <v>5208.3666666666668</v>
      </c>
      <c r="N261" s="52">
        <f t="shared" si="86"/>
        <v>5208.3666666666668</v>
      </c>
      <c r="O261" s="52">
        <f t="shared" si="86"/>
        <v>3451.59</v>
      </c>
      <c r="P261" s="52">
        <f t="shared" si="86"/>
        <v>3870</v>
      </c>
      <c r="Q261" s="52">
        <f t="shared" si="86"/>
        <v>4465</v>
      </c>
      <c r="AE261" s="42">
        <f>+AD261-E261</f>
        <v>-21580</v>
      </c>
      <c r="AF261" s="38"/>
    </row>
    <row r="262" spans="2:32" x14ac:dyDescent="0.2">
      <c r="B262" s="59" t="s">
        <v>513</v>
      </c>
      <c r="C262" s="59" t="s">
        <v>27</v>
      </c>
      <c r="D262" s="60" t="s">
        <v>514</v>
      </c>
      <c r="E262" s="61">
        <f>+'[1]BASE MENSUAL 2022 PRESUP.'!L270</f>
        <v>21290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AD262" s="8">
        <f>55251.59*1.03</f>
        <v>56909.137699999999</v>
      </c>
      <c r="AE262" s="42">
        <f>+AD262-E262</f>
        <v>35619.137699999999</v>
      </c>
      <c r="AF262" s="38">
        <f>+E262</f>
        <v>21290</v>
      </c>
    </row>
    <row r="263" spans="2:32" x14ac:dyDescent="0.2">
      <c r="B263" s="59" t="s">
        <v>515</v>
      </c>
      <c r="C263" s="59" t="s">
        <v>27</v>
      </c>
      <c r="D263" s="60" t="s">
        <v>516</v>
      </c>
      <c r="E263" s="61">
        <f>+'[1]BASE MENSUAL 2022 PRESUP.'!L271</f>
        <v>0</v>
      </c>
      <c r="F263" s="62">
        <v>6320</v>
      </c>
      <c r="G263" s="62">
        <v>5340</v>
      </c>
      <c r="H263" s="62">
        <v>6465</v>
      </c>
      <c r="I263" s="62">
        <v>5355</v>
      </c>
      <c r="J263" s="62">
        <f>1202+360</f>
        <v>1562</v>
      </c>
      <c r="K263" s="62">
        <v>4815</v>
      </c>
      <c r="L263" s="62">
        <f t="shared" ref="L263:M263" si="87">15170*1.03/3</f>
        <v>5208.3666666666668</v>
      </c>
      <c r="M263" s="62">
        <f t="shared" si="87"/>
        <v>5208.3666666666668</v>
      </c>
      <c r="N263" s="62">
        <f>15170*1.03/3</f>
        <v>5208.3666666666668</v>
      </c>
      <c r="O263" s="62">
        <v>3451.59</v>
      </c>
      <c r="P263" s="62">
        <v>3870</v>
      </c>
      <c r="Q263" s="62">
        <v>4465</v>
      </c>
      <c r="AD263" s="8">
        <f>350*1.03</f>
        <v>360.5</v>
      </c>
      <c r="AE263" s="42">
        <f>+AD263-E263</f>
        <v>360.5</v>
      </c>
      <c r="AF263" s="38">
        <f>+E263</f>
        <v>0</v>
      </c>
    </row>
    <row r="264" spans="2:32" x14ac:dyDescent="0.2">
      <c r="B264" s="59" t="s">
        <v>517</v>
      </c>
      <c r="C264" s="59" t="s">
        <v>27</v>
      </c>
      <c r="D264" s="60" t="s">
        <v>518</v>
      </c>
      <c r="E264" s="61">
        <f>+'[1]BASE MENSUAL 2022 PRESUP.'!L272</f>
        <v>160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AD264" s="8">
        <f>5915*1.03</f>
        <v>6092.45</v>
      </c>
      <c r="AE264" s="42">
        <f>+AD264-E264</f>
        <v>5932.45</v>
      </c>
      <c r="AF264" s="38">
        <f>+E264</f>
        <v>160</v>
      </c>
    </row>
    <row r="265" spans="2:32" x14ac:dyDescent="0.2">
      <c r="B265" s="59" t="s">
        <v>519</v>
      </c>
      <c r="C265" s="59" t="s">
        <v>27</v>
      </c>
      <c r="D265" s="60" t="s">
        <v>520</v>
      </c>
      <c r="E265" s="61">
        <f>+'[1]BASE MENSUAL 2022 PRESUP.'!L273</f>
        <v>130</v>
      </c>
      <c r="F265" s="62">
        <v>0</v>
      </c>
      <c r="G265" s="62">
        <v>500</v>
      </c>
      <c r="H265" s="62">
        <v>0</v>
      </c>
      <c r="I265" s="62">
        <v>210</v>
      </c>
      <c r="J265" s="62">
        <f>275+29.55</f>
        <v>304.55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AD265" s="8">
        <f>985*1.03</f>
        <v>1014.5500000000001</v>
      </c>
      <c r="AE265" s="42">
        <f>+AD265-E265</f>
        <v>884.55000000000007</v>
      </c>
      <c r="AF265" s="38">
        <f>+E265</f>
        <v>130</v>
      </c>
    </row>
    <row r="266" spans="2:32" x14ac:dyDescent="0.2">
      <c r="B266" s="72" t="s">
        <v>521</v>
      </c>
      <c r="D266" s="72" t="s">
        <v>512</v>
      </c>
      <c r="E266" s="51">
        <f>+E267</f>
        <v>45000</v>
      </c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AF266" s="38"/>
    </row>
    <row r="267" spans="2:32" x14ac:dyDescent="0.2">
      <c r="B267" s="59" t="s">
        <v>522</v>
      </c>
      <c r="C267" s="59" t="s">
        <v>176</v>
      </c>
      <c r="D267" s="60" t="s">
        <v>523</v>
      </c>
      <c r="E267" s="61">
        <f>+'[1]BASE MENSUAL 2022 PRESUP.'!L275</f>
        <v>45000</v>
      </c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AF267" s="38"/>
    </row>
    <row r="268" spans="2:32" x14ac:dyDescent="0.2">
      <c r="B268" s="48" t="s">
        <v>524</v>
      </c>
      <c r="C268" s="48"/>
      <c r="D268" s="50" t="s">
        <v>525</v>
      </c>
      <c r="E268" s="51">
        <f>+E269</f>
        <v>1000</v>
      </c>
      <c r="F268" s="52">
        <f t="shared" ref="F268:Q269" si="88">+F269</f>
        <v>0</v>
      </c>
      <c r="G268" s="52">
        <f t="shared" si="88"/>
        <v>0</v>
      </c>
      <c r="H268" s="52">
        <f t="shared" si="88"/>
        <v>0</v>
      </c>
      <c r="I268" s="52">
        <f t="shared" si="88"/>
        <v>0</v>
      </c>
      <c r="J268" s="52">
        <f t="shared" si="88"/>
        <v>0</v>
      </c>
      <c r="K268" s="52">
        <f t="shared" si="88"/>
        <v>0</v>
      </c>
      <c r="L268" s="52">
        <f t="shared" si="88"/>
        <v>0</v>
      </c>
      <c r="M268" s="52">
        <f t="shared" si="88"/>
        <v>0</v>
      </c>
      <c r="N268" s="52">
        <f t="shared" si="88"/>
        <v>0</v>
      </c>
      <c r="O268" s="52">
        <f t="shared" si="88"/>
        <v>0</v>
      </c>
      <c r="P268" s="52">
        <f t="shared" si="88"/>
        <v>0</v>
      </c>
      <c r="Q268" s="52">
        <f t="shared" si="88"/>
        <v>0</v>
      </c>
      <c r="AE268" s="42">
        <f t="shared" ref="AE268:AE288" si="89">+AD268-E268</f>
        <v>-1000</v>
      </c>
      <c r="AF268" s="38"/>
    </row>
    <row r="269" spans="2:32" x14ac:dyDescent="0.2">
      <c r="B269" s="48" t="s">
        <v>526</v>
      </c>
      <c r="C269" s="48"/>
      <c r="D269" s="50" t="s">
        <v>527</v>
      </c>
      <c r="E269" s="51">
        <f>+E270</f>
        <v>1000</v>
      </c>
      <c r="F269" s="52">
        <f t="shared" si="88"/>
        <v>0</v>
      </c>
      <c r="G269" s="52">
        <f t="shared" si="88"/>
        <v>0</v>
      </c>
      <c r="H269" s="52">
        <f t="shared" si="88"/>
        <v>0</v>
      </c>
      <c r="I269" s="52">
        <f t="shared" si="88"/>
        <v>0</v>
      </c>
      <c r="J269" s="52">
        <f t="shared" si="88"/>
        <v>0</v>
      </c>
      <c r="K269" s="52">
        <f t="shared" si="88"/>
        <v>0</v>
      </c>
      <c r="L269" s="52">
        <f t="shared" si="88"/>
        <v>0</v>
      </c>
      <c r="M269" s="52">
        <f t="shared" si="88"/>
        <v>0</v>
      </c>
      <c r="N269" s="52">
        <f t="shared" si="88"/>
        <v>0</v>
      </c>
      <c r="O269" s="52">
        <f t="shared" si="88"/>
        <v>0</v>
      </c>
      <c r="P269" s="52">
        <f t="shared" si="88"/>
        <v>0</v>
      </c>
      <c r="Q269" s="52">
        <f t="shared" si="88"/>
        <v>0</v>
      </c>
      <c r="AE269" s="42">
        <f t="shared" si="89"/>
        <v>-1000</v>
      </c>
      <c r="AF269" s="38"/>
    </row>
    <row r="270" spans="2:32" x14ac:dyDescent="0.2">
      <c r="B270" s="59" t="s">
        <v>528</v>
      </c>
      <c r="C270" s="59"/>
      <c r="D270" s="60" t="s">
        <v>527</v>
      </c>
      <c r="E270" s="61">
        <f>+'[1]BASE MENSUAL 2022 PRESUP.'!L278</f>
        <v>1000</v>
      </c>
      <c r="F270" s="62">
        <v>0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AE270" s="42">
        <f t="shared" si="89"/>
        <v>-1000</v>
      </c>
      <c r="AF270" s="38">
        <f>+E270</f>
        <v>1000</v>
      </c>
    </row>
    <row r="271" spans="2:32" x14ac:dyDescent="0.2">
      <c r="B271" s="48" t="s">
        <v>529</v>
      </c>
      <c r="C271" s="48"/>
      <c r="D271" s="50" t="s">
        <v>530</v>
      </c>
      <c r="E271" s="51">
        <f>SUM(E272:E274)</f>
        <v>800394.78</v>
      </c>
      <c r="F271" s="52">
        <f t="shared" ref="F271:Q271" si="90">SUM(F272:F273)</f>
        <v>158635</v>
      </c>
      <c r="G271" s="52">
        <f t="shared" si="90"/>
        <v>276304.5</v>
      </c>
      <c r="H271" s="52">
        <f t="shared" si="90"/>
        <v>173575</v>
      </c>
      <c r="I271" s="52">
        <f t="shared" si="90"/>
        <v>187307</v>
      </c>
      <c r="J271" s="52">
        <f t="shared" si="90"/>
        <v>143612</v>
      </c>
      <c r="K271" s="52">
        <f t="shared" si="90"/>
        <v>76144</v>
      </c>
      <c r="L271" s="52">
        <f t="shared" si="90"/>
        <v>0</v>
      </c>
      <c r="M271" s="52">
        <f t="shared" si="90"/>
        <v>0</v>
      </c>
      <c r="N271" s="52">
        <f t="shared" si="90"/>
        <v>47600</v>
      </c>
      <c r="O271" s="52">
        <f t="shared" si="90"/>
        <v>0</v>
      </c>
      <c r="P271" s="52">
        <f t="shared" si="90"/>
        <v>0</v>
      </c>
      <c r="Q271" s="52">
        <f t="shared" si="90"/>
        <v>0</v>
      </c>
      <c r="AE271" s="42">
        <f t="shared" si="89"/>
        <v>-800394.78</v>
      </c>
      <c r="AF271" s="38"/>
    </row>
    <row r="272" spans="2:32" x14ac:dyDescent="0.2">
      <c r="B272" s="59" t="s">
        <v>531</v>
      </c>
      <c r="C272" s="59" t="s">
        <v>242</v>
      </c>
      <c r="D272" s="60" t="s">
        <v>532</v>
      </c>
      <c r="E272" s="61">
        <f>+'[1]BASE MENSUAL 2022 PRESUP.'!L280</f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AE272" s="42">
        <f t="shared" si="89"/>
        <v>0</v>
      </c>
      <c r="AF272" s="38">
        <f>+E272</f>
        <v>0</v>
      </c>
    </row>
    <row r="273" spans="2:32" x14ac:dyDescent="0.2">
      <c r="B273" s="59" t="s">
        <v>533</v>
      </c>
      <c r="C273" s="59" t="s">
        <v>242</v>
      </c>
      <c r="D273" s="60" t="s">
        <v>534</v>
      </c>
      <c r="E273" s="61">
        <f>+'[1]BASE MENSUAL 2022 PRESUP.'!L281</f>
        <v>800394.78</v>
      </c>
      <c r="F273" s="62">
        <v>158635</v>
      </c>
      <c r="G273" s="62">
        <v>276304.5</v>
      </c>
      <c r="H273" s="62">
        <v>173575</v>
      </c>
      <c r="I273" s="62">
        <v>187307</v>
      </c>
      <c r="J273" s="62">
        <v>143612</v>
      </c>
      <c r="K273" s="62">
        <v>76144</v>
      </c>
      <c r="L273" s="62">
        <v>0</v>
      </c>
      <c r="M273" s="62">
        <v>0</v>
      </c>
      <c r="N273" s="62">
        <v>47600</v>
      </c>
      <c r="O273" s="62">
        <v>0</v>
      </c>
      <c r="P273" s="62">
        <v>0</v>
      </c>
      <c r="Q273" s="62">
        <v>0</v>
      </c>
      <c r="AD273" s="8">
        <f>1194232.5*1.03</f>
        <v>1230059.4750000001</v>
      </c>
      <c r="AE273" s="42">
        <f t="shared" si="89"/>
        <v>429664.69500000007</v>
      </c>
      <c r="AF273" s="38">
        <f>+E273</f>
        <v>800394.78</v>
      </c>
    </row>
    <row r="274" spans="2:32" x14ac:dyDescent="0.2">
      <c r="B274" s="59" t="s">
        <v>535</v>
      </c>
      <c r="C274" s="59" t="s">
        <v>242</v>
      </c>
      <c r="D274" s="60" t="s">
        <v>536</v>
      </c>
      <c r="E274" s="61">
        <f>+'[1]BASE MENSUAL 2022 PRESUP.'!L282</f>
        <v>0</v>
      </c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AF274" s="38"/>
    </row>
    <row r="275" spans="2:32" x14ac:dyDescent="0.2">
      <c r="B275" s="48" t="s">
        <v>537</v>
      </c>
      <c r="C275" s="48"/>
      <c r="D275" s="50" t="s">
        <v>538</v>
      </c>
      <c r="E275" s="51">
        <f>SUM(E276:E279)</f>
        <v>75781.02</v>
      </c>
      <c r="F275" s="52">
        <f t="shared" ref="F275:Q275" si="91">SUM(F276:F279)</f>
        <v>15523.32</v>
      </c>
      <c r="G275" s="52">
        <f t="shared" si="91"/>
        <v>12466</v>
      </c>
      <c r="H275" s="52">
        <f t="shared" si="91"/>
        <v>10221</v>
      </c>
      <c r="I275" s="52">
        <f t="shared" si="91"/>
        <v>10451</v>
      </c>
      <c r="J275" s="52">
        <f t="shared" si="91"/>
        <v>10045</v>
      </c>
      <c r="K275" s="52">
        <f t="shared" si="91"/>
        <v>7192</v>
      </c>
      <c r="L275" s="52">
        <f t="shared" si="91"/>
        <v>11085.666666666666</v>
      </c>
      <c r="M275" s="52">
        <f t="shared" si="91"/>
        <v>11075.666666666666</v>
      </c>
      <c r="N275" s="52">
        <f t="shared" si="91"/>
        <v>11055.666666666666</v>
      </c>
      <c r="O275" s="52">
        <f t="shared" si="91"/>
        <v>8657.06</v>
      </c>
      <c r="P275" s="52">
        <f t="shared" si="91"/>
        <v>9600.2999999999993</v>
      </c>
      <c r="Q275" s="52">
        <f t="shared" si="91"/>
        <v>5823.86</v>
      </c>
      <c r="AE275" s="42">
        <f t="shared" si="89"/>
        <v>-75781.02</v>
      </c>
      <c r="AF275" s="38"/>
    </row>
    <row r="276" spans="2:32" x14ac:dyDescent="0.2">
      <c r="B276" s="59" t="s">
        <v>539</v>
      </c>
      <c r="C276" s="59" t="s">
        <v>27</v>
      </c>
      <c r="D276" s="60" t="s">
        <v>540</v>
      </c>
      <c r="E276" s="61">
        <f>+'[1]BASE MENSUAL 2022 PRESUP.'!L284</f>
        <v>23100.18</v>
      </c>
      <c r="F276" s="62">
        <v>5452.32</v>
      </c>
      <c r="G276" s="62">
        <v>4153</v>
      </c>
      <c r="H276" s="62">
        <v>1787</v>
      </c>
      <c r="I276" s="62">
        <v>2859</v>
      </c>
      <c r="J276" s="62">
        <v>2002</v>
      </c>
      <c r="K276" s="62">
        <v>1183</v>
      </c>
      <c r="L276" s="62">
        <v>2396.3333333333335</v>
      </c>
      <c r="M276" s="62">
        <v>2396.3333333333335</v>
      </c>
      <c r="N276" s="62">
        <v>2396.3333333333335</v>
      </c>
      <c r="O276" s="62">
        <v>2157.06</v>
      </c>
      <c r="P276" s="62">
        <v>2389.5</v>
      </c>
      <c r="Q276" s="62">
        <v>265.5</v>
      </c>
      <c r="AD276" s="8">
        <f>29437.38*1.03</f>
        <v>30320.501400000001</v>
      </c>
      <c r="AE276" s="42">
        <f t="shared" si="89"/>
        <v>7220.3214000000007</v>
      </c>
      <c r="AF276" s="38">
        <f>+E276</f>
        <v>23100.18</v>
      </c>
    </row>
    <row r="277" spans="2:32" x14ac:dyDescent="0.2">
      <c r="B277" s="59" t="s">
        <v>541</v>
      </c>
      <c r="C277" s="59" t="s">
        <v>332</v>
      </c>
      <c r="D277" s="60" t="s">
        <v>542</v>
      </c>
      <c r="E277" s="61">
        <f>+'[1]BASE MENSUAL 2022 PRESUP.'!L285</f>
        <v>1824.84</v>
      </c>
      <c r="F277" s="62">
        <v>1566</v>
      </c>
      <c r="G277" s="62">
        <v>594</v>
      </c>
      <c r="H277" s="62">
        <v>540</v>
      </c>
      <c r="I277" s="62">
        <v>594</v>
      </c>
      <c r="J277" s="62">
        <v>918</v>
      </c>
      <c r="K277" s="62">
        <v>486</v>
      </c>
      <c r="L277" s="62">
        <v>540</v>
      </c>
      <c r="M277" s="62">
        <v>540</v>
      </c>
      <c r="N277" s="62">
        <v>540</v>
      </c>
      <c r="O277" s="62">
        <v>0</v>
      </c>
      <c r="P277" s="62">
        <v>526.79999999999995</v>
      </c>
      <c r="Q277" s="62">
        <v>105.36</v>
      </c>
      <c r="AD277" s="8">
        <f>6950.16*1.03</f>
        <v>7158.6648000000005</v>
      </c>
      <c r="AE277" s="42">
        <f t="shared" si="89"/>
        <v>5333.8248000000003</v>
      </c>
      <c r="AF277" s="38">
        <f>+E277</f>
        <v>1824.84</v>
      </c>
    </row>
    <row r="278" spans="2:32" x14ac:dyDescent="0.2">
      <c r="B278" s="59" t="s">
        <v>543</v>
      </c>
      <c r="C278" s="59" t="s">
        <v>267</v>
      </c>
      <c r="D278" s="60" t="s">
        <v>544</v>
      </c>
      <c r="E278" s="61">
        <f>+'[1]BASE MENSUAL 2022 PRESUP.'!L286</f>
        <v>50856</v>
      </c>
      <c r="F278" s="62">
        <v>7605</v>
      </c>
      <c r="G278" s="62">
        <v>6919</v>
      </c>
      <c r="H278" s="62">
        <v>7194</v>
      </c>
      <c r="I278" s="62">
        <v>6398</v>
      </c>
      <c r="J278" s="62">
        <v>6625</v>
      </c>
      <c r="K278" s="62">
        <v>4832</v>
      </c>
      <c r="L278" s="62">
        <v>7489.333333333333</v>
      </c>
      <c r="M278" s="62">
        <v>7489.333333333333</v>
      </c>
      <c r="N278" s="62">
        <v>7489.333333333333</v>
      </c>
      <c r="O278" s="62">
        <v>5890</v>
      </c>
      <c r="P278" s="62">
        <v>5993</v>
      </c>
      <c r="Q278" s="62">
        <v>4753</v>
      </c>
      <c r="AD278" s="8">
        <f>78677*1.03</f>
        <v>81037.31</v>
      </c>
      <c r="AE278" s="42">
        <f t="shared" si="89"/>
        <v>30181.309999999998</v>
      </c>
      <c r="AF278" s="38">
        <f>+E278</f>
        <v>50856</v>
      </c>
    </row>
    <row r="279" spans="2:32" x14ac:dyDescent="0.2">
      <c r="B279" s="59" t="s">
        <v>545</v>
      </c>
      <c r="C279" s="59" t="s">
        <v>27</v>
      </c>
      <c r="D279" s="60" t="s">
        <v>546</v>
      </c>
      <c r="E279" s="61">
        <f>+'[1]BASE MENSUAL 2022 PRESUP.'!L287</f>
        <v>0</v>
      </c>
      <c r="F279" s="62">
        <v>900</v>
      </c>
      <c r="G279" s="62">
        <v>800</v>
      </c>
      <c r="H279" s="62">
        <v>700</v>
      </c>
      <c r="I279" s="62">
        <v>600</v>
      </c>
      <c r="J279" s="62">
        <v>500</v>
      </c>
      <c r="K279" s="62">
        <v>691</v>
      </c>
      <c r="L279" s="62">
        <v>660</v>
      </c>
      <c r="M279" s="62">
        <v>650</v>
      </c>
      <c r="N279" s="62">
        <v>630</v>
      </c>
      <c r="O279" s="62">
        <v>610</v>
      </c>
      <c r="P279" s="62">
        <v>691</v>
      </c>
      <c r="Q279" s="62">
        <v>700</v>
      </c>
      <c r="AD279" s="8">
        <f>4003.5*1.03</f>
        <v>4123.6050000000005</v>
      </c>
      <c r="AE279" s="42">
        <f t="shared" si="89"/>
        <v>4123.6050000000005</v>
      </c>
      <c r="AF279" s="38">
        <f>+E279</f>
        <v>0</v>
      </c>
    </row>
    <row r="280" spans="2:32" x14ac:dyDescent="0.2">
      <c r="B280" s="48" t="s">
        <v>547</v>
      </c>
      <c r="C280" s="48"/>
      <c r="D280" s="50" t="s">
        <v>548</v>
      </c>
      <c r="E280" s="51">
        <f>+E281+E283+E285</f>
        <v>57757.540000000008</v>
      </c>
      <c r="F280" s="52">
        <f t="shared" ref="F280:Q280" si="92">+F281+F283+F285</f>
        <v>13198.720000000001</v>
      </c>
      <c r="G280" s="52">
        <f t="shared" si="92"/>
        <v>3935.41</v>
      </c>
      <c r="H280" s="52">
        <f t="shared" si="92"/>
        <v>20178.34</v>
      </c>
      <c r="I280" s="52">
        <f t="shared" si="92"/>
        <v>45475.199999999997</v>
      </c>
      <c r="J280" s="52">
        <f t="shared" si="92"/>
        <v>59364.45</v>
      </c>
      <c r="K280" s="52">
        <f t="shared" si="92"/>
        <v>77380.55</v>
      </c>
      <c r="L280" s="52">
        <f t="shared" si="92"/>
        <v>51712.42</v>
      </c>
      <c r="M280" s="52">
        <f t="shared" si="92"/>
        <v>44178.369999999995</v>
      </c>
      <c r="N280" s="52">
        <f t="shared" si="92"/>
        <v>43178.369999999995</v>
      </c>
      <c r="O280" s="52">
        <f t="shared" si="92"/>
        <v>31625.43</v>
      </c>
      <c r="P280" s="52">
        <f t="shared" si="92"/>
        <v>11118.95</v>
      </c>
      <c r="Q280" s="52">
        <f t="shared" si="92"/>
        <v>5500</v>
      </c>
      <c r="AE280" s="42">
        <f t="shared" si="89"/>
        <v>-57757.540000000008</v>
      </c>
      <c r="AF280" s="38"/>
    </row>
    <row r="281" spans="2:32" x14ac:dyDescent="0.2">
      <c r="B281" s="48" t="s">
        <v>549</v>
      </c>
      <c r="C281" s="48"/>
      <c r="D281" s="50" t="s">
        <v>550</v>
      </c>
      <c r="E281" s="51">
        <f>+E282</f>
        <v>37785.68</v>
      </c>
      <c r="F281" s="52">
        <f t="shared" ref="F281:Q281" si="93">+F282</f>
        <v>12210.03</v>
      </c>
      <c r="G281" s="52">
        <f t="shared" si="93"/>
        <v>2995.52</v>
      </c>
      <c r="H281" s="52">
        <f t="shared" si="93"/>
        <v>11706.48</v>
      </c>
      <c r="I281" s="52">
        <f t="shared" si="93"/>
        <v>31059.42</v>
      </c>
      <c r="J281" s="52">
        <f t="shared" si="93"/>
        <v>37296.639999999999</v>
      </c>
      <c r="K281" s="52">
        <f t="shared" si="93"/>
        <v>46380.49</v>
      </c>
      <c r="L281" s="52">
        <f t="shared" si="93"/>
        <v>37296.639999999999</v>
      </c>
      <c r="M281" s="52">
        <f t="shared" si="93"/>
        <v>31059.42</v>
      </c>
      <c r="N281" s="52">
        <f t="shared" si="93"/>
        <v>31059.42</v>
      </c>
      <c r="O281" s="52">
        <f t="shared" si="93"/>
        <v>20706.48</v>
      </c>
      <c r="P281" s="52">
        <f t="shared" si="93"/>
        <v>6000</v>
      </c>
      <c r="Q281" s="52">
        <f t="shared" si="93"/>
        <v>2000</v>
      </c>
      <c r="AE281" s="42">
        <f t="shared" si="89"/>
        <v>-37785.68</v>
      </c>
      <c r="AF281" s="38"/>
    </row>
    <row r="282" spans="2:32" x14ac:dyDescent="0.2">
      <c r="B282" s="59" t="s">
        <v>551</v>
      </c>
      <c r="C282" s="59" t="s">
        <v>27</v>
      </c>
      <c r="D282" s="60" t="s">
        <v>552</v>
      </c>
      <c r="E282" s="61">
        <f>+'[1]BASE MENSUAL 2022 PRESUP.'!L290</f>
        <v>37785.68</v>
      </c>
      <c r="F282" s="62">
        <v>12210.03</v>
      </c>
      <c r="G282" s="62">
        <v>2995.52</v>
      </c>
      <c r="H282" s="62">
        <v>11706.48</v>
      </c>
      <c r="I282" s="62">
        <v>31059.42</v>
      </c>
      <c r="J282" s="62">
        <v>37296.639999999999</v>
      </c>
      <c r="K282" s="62">
        <v>46380.49</v>
      </c>
      <c r="L282" s="62">
        <v>37296.639999999999</v>
      </c>
      <c r="M282" s="62">
        <v>31059.42</v>
      </c>
      <c r="N282" s="62">
        <v>31059.42</v>
      </c>
      <c r="O282" s="62">
        <v>20706.48</v>
      </c>
      <c r="P282" s="62">
        <v>6000</v>
      </c>
      <c r="Q282" s="62">
        <v>2000</v>
      </c>
      <c r="AD282" s="8">
        <f>141648.58*1.03</f>
        <v>145898.0374</v>
      </c>
      <c r="AE282" s="42">
        <f t="shared" si="89"/>
        <v>108112.35740000001</v>
      </c>
      <c r="AF282" s="38">
        <f>+E282</f>
        <v>37785.68</v>
      </c>
    </row>
    <row r="283" spans="2:32" x14ac:dyDescent="0.2">
      <c r="B283" s="48" t="s">
        <v>553</v>
      </c>
      <c r="C283" s="48"/>
      <c r="D283" s="50" t="s">
        <v>554</v>
      </c>
      <c r="E283" s="51">
        <f>+E284</f>
        <v>5808.26</v>
      </c>
      <c r="F283" s="52">
        <f t="shared" ref="F283:Q283" si="94">+F284</f>
        <v>0</v>
      </c>
      <c r="G283" s="52">
        <f t="shared" si="94"/>
        <v>0</v>
      </c>
      <c r="H283" s="52">
        <f t="shared" si="94"/>
        <v>5809.34</v>
      </c>
      <c r="I283" s="52">
        <f t="shared" si="94"/>
        <v>13296.83</v>
      </c>
      <c r="J283" s="52">
        <f t="shared" si="94"/>
        <v>22067.81</v>
      </c>
      <c r="K283" s="52">
        <f t="shared" si="94"/>
        <v>28641.26</v>
      </c>
      <c r="L283" s="52">
        <f t="shared" si="94"/>
        <v>13296.83</v>
      </c>
      <c r="M283" s="52">
        <f t="shared" si="94"/>
        <v>12000</v>
      </c>
      <c r="N283" s="52">
        <f t="shared" si="94"/>
        <v>11000</v>
      </c>
      <c r="O283" s="52">
        <f t="shared" si="94"/>
        <v>9800</v>
      </c>
      <c r="P283" s="52">
        <f t="shared" si="94"/>
        <v>4000</v>
      </c>
      <c r="Q283" s="52">
        <f t="shared" si="94"/>
        <v>3000</v>
      </c>
      <c r="AE283" s="42">
        <f t="shared" si="89"/>
        <v>-5808.26</v>
      </c>
      <c r="AF283" s="38"/>
    </row>
    <row r="284" spans="2:32" x14ac:dyDescent="0.2">
      <c r="B284" s="59" t="s">
        <v>555</v>
      </c>
      <c r="C284" s="59" t="s">
        <v>27</v>
      </c>
      <c r="D284" s="60" t="s">
        <v>556</v>
      </c>
      <c r="E284" s="61">
        <f>+'[1]BASE MENSUAL 2022 PRESUP.'!L292</f>
        <v>5808.26</v>
      </c>
      <c r="F284" s="62">
        <v>0</v>
      </c>
      <c r="G284" s="62">
        <v>0</v>
      </c>
      <c r="H284" s="62">
        <v>5809.34</v>
      </c>
      <c r="I284" s="62">
        <v>13296.83</v>
      </c>
      <c r="J284" s="62">
        <v>22067.81</v>
      </c>
      <c r="K284" s="62">
        <v>28641.26</v>
      </c>
      <c r="L284" s="62">
        <v>13296.83</v>
      </c>
      <c r="M284" s="62">
        <v>12000</v>
      </c>
      <c r="N284" s="62">
        <v>11000</v>
      </c>
      <c r="O284" s="62">
        <v>9800</v>
      </c>
      <c r="P284" s="62">
        <v>4000</v>
      </c>
      <c r="Q284" s="62">
        <v>3000</v>
      </c>
      <c r="AD284" s="8">
        <f>69815.24*1.03</f>
        <v>71909.69720000001</v>
      </c>
      <c r="AE284" s="42">
        <f t="shared" si="89"/>
        <v>66101.437200000015</v>
      </c>
      <c r="AF284" s="38">
        <f>+E284</f>
        <v>5808.26</v>
      </c>
    </row>
    <row r="285" spans="2:32" x14ac:dyDescent="0.2">
      <c r="B285" s="48" t="s">
        <v>557</v>
      </c>
      <c r="C285" s="48"/>
      <c r="D285" s="50" t="s">
        <v>558</v>
      </c>
      <c r="E285" s="51">
        <f>+E286</f>
        <v>14163.600000000004</v>
      </c>
      <c r="F285" s="52">
        <f t="shared" ref="F285:Q285" si="95">+F286</f>
        <v>988.69</v>
      </c>
      <c r="G285" s="52">
        <f t="shared" si="95"/>
        <v>939.89</v>
      </c>
      <c r="H285" s="52">
        <f t="shared" si="95"/>
        <v>2662.52</v>
      </c>
      <c r="I285" s="52">
        <f t="shared" si="95"/>
        <v>1118.95</v>
      </c>
      <c r="J285" s="52">
        <f t="shared" si="95"/>
        <v>0</v>
      </c>
      <c r="K285" s="52">
        <f t="shared" si="95"/>
        <v>2358.8000000000002</v>
      </c>
      <c r="L285" s="52">
        <f t="shared" si="95"/>
        <v>1118.95</v>
      </c>
      <c r="M285" s="52">
        <f t="shared" si="95"/>
        <v>1118.95</v>
      </c>
      <c r="N285" s="52">
        <f t="shared" si="95"/>
        <v>1118.95</v>
      </c>
      <c r="O285" s="52">
        <f t="shared" si="95"/>
        <v>1118.95</v>
      </c>
      <c r="P285" s="52">
        <f t="shared" si="95"/>
        <v>1118.95</v>
      </c>
      <c r="Q285" s="52">
        <f t="shared" si="95"/>
        <v>500</v>
      </c>
      <c r="AE285" s="42">
        <f t="shared" si="89"/>
        <v>-14163.600000000004</v>
      </c>
      <c r="AF285" s="38"/>
    </row>
    <row r="286" spans="2:32" x14ac:dyDescent="0.2">
      <c r="B286" s="59" t="s">
        <v>559</v>
      </c>
      <c r="C286" s="59" t="s">
        <v>27</v>
      </c>
      <c r="D286" s="60" t="s">
        <v>560</v>
      </c>
      <c r="E286" s="61">
        <f>+'[1]BASE MENSUAL 2022 PRESUP.'!L294</f>
        <v>14163.600000000004</v>
      </c>
      <c r="F286" s="62">
        <v>988.69</v>
      </c>
      <c r="G286" s="62">
        <v>939.89</v>
      </c>
      <c r="H286" s="62">
        <v>2662.52</v>
      </c>
      <c r="I286" s="62">
        <v>1118.95</v>
      </c>
      <c r="J286" s="62">
        <v>0</v>
      </c>
      <c r="K286" s="62">
        <v>2358.8000000000002</v>
      </c>
      <c r="L286" s="62">
        <v>1118.95</v>
      </c>
      <c r="M286" s="62">
        <v>1118.95</v>
      </c>
      <c r="N286" s="62">
        <v>1118.95</v>
      </c>
      <c r="O286" s="62">
        <v>1118.95</v>
      </c>
      <c r="P286" s="62">
        <v>1118.95</v>
      </c>
      <c r="Q286" s="62">
        <v>500</v>
      </c>
      <c r="AD286" s="8">
        <f>8068.85*1.03</f>
        <v>8310.915500000001</v>
      </c>
      <c r="AE286" s="42">
        <f t="shared" si="89"/>
        <v>-5852.684500000003</v>
      </c>
      <c r="AF286" s="38">
        <f>+E286</f>
        <v>14163.600000000004</v>
      </c>
    </row>
    <row r="287" spans="2:32" s="53" customFormat="1" x14ac:dyDescent="0.2">
      <c r="B287" s="54" t="s">
        <v>561</v>
      </c>
      <c r="C287" s="54"/>
      <c r="D287" s="55" t="s">
        <v>562</v>
      </c>
      <c r="E287" s="56">
        <f>+E288</f>
        <v>420812.38</v>
      </c>
      <c r="F287" s="73">
        <f t="shared" ref="F287:Q287" si="96">+F288</f>
        <v>113662.70200000002</v>
      </c>
      <c r="G287" s="73">
        <f t="shared" si="96"/>
        <v>18960.223500000004</v>
      </c>
      <c r="H287" s="73">
        <f t="shared" si="96"/>
        <v>61492.122000000003</v>
      </c>
      <c r="I287" s="73">
        <f t="shared" si="96"/>
        <v>19327.951500000003</v>
      </c>
      <c r="J287" s="73">
        <f t="shared" si="96"/>
        <v>14681.180000000002</v>
      </c>
      <c r="K287" s="73">
        <f t="shared" si="96"/>
        <v>13467.286500000004</v>
      </c>
      <c r="L287" s="73">
        <f t="shared" si="96"/>
        <v>35631.944000000003</v>
      </c>
      <c r="M287" s="73">
        <f t="shared" si="96"/>
        <v>15631.944000000001</v>
      </c>
      <c r="N287" s="73">
        <f t="shared" si="96"/>
        <v>19473.845500000003</v>
      </c>
      <c r="O287" s="73">
        <f t="shared" si="96"/>
        <v>19853.289000000001</v>
      </c>
      <c r="P287" s="73">
        <f t="shared" si="96"/>
        <v>21585.388000000003</v>
      </c>
      <c r="Q287" s="73">
        <f t="shared" si="96"/>
        <v>41154.955999999998</v>
      </c>
      <c r="R287" s="71"/>
      <c r="S287" s="24"/>
      <c r="T287" s="24"/>
      <c r="U287" s="24"/>
      <c r="V287" s="24"/>
      <c r="W287" s="24"/>
      <c r="X287" s="24"/>
      <c r="Y287" s="24"/>
      <c r="Z287" s="24"/>
      <c r="AD287" s="8"/>
      <c r="AE287" s="42">
        <f t="shared" si="89"/>
        <v>-420812.38</v>
      </c>
      <c r="AF287" s="67"/>
    </row>
    <row r="288" spans="2:32" x14ac:dyDescent="0.2">
      <c r="B288" s="48" t="s">
        <v>563</v>
      </c>
      <c r="C288" s="48"/>
      <c r="D288" s="50" t="s">
        <v>564</v>
      </c>
      <c r="E288" s="51">
        <f>+E296+E298+E301+E303+E289</f>
        <v>420812.38</v>
      </c>
      <c r="F288" s="52">
        <f>+F296+F298+F301+F303+F289</f>
        <v>113662.70200000002</v>
      </c>
      <c r="G288" s="52">
        <f t="shared" ref="G288:Q288" si="97">+G296+G298+G301+G303+G289</f>
        <v>18960.223500000004</v>
      </c>
      <c r="H288" s="52">
        <f t="shared" si="97"/>
        <v>61492.122000000003</v>
      </c>
      <c r="I288" s="52">
        <f t="shared" si="97"/>
        <v>19327.951500000003</v>
      </c>
      <c r="J288" s="52">
        <f t="shared" si="97"/>
        <v>14681.180000000002</v>
      </c>
      <c r="K288" s="52">
        <f t="shared" si="97"/>
        <v>13467.286500000004</v>
      </c>
      <c r="L288" s="52">
        <f t="shared" si="97"/>
        <v>35631.944000000003</v>
      </c>
      <c r="M288" s="52">
        <f t="shared" si="97"/>
        <v>15631.944000000001</v>
      </c>
      <c r="N288" s="52">
        <f t="shared" si="97"/>
        <v>19473.845500000003</v>
      </c>
      <c r="O288" s="52">
        <f t="shared" si="97"/>
        <v>19853.289000000001</v>
      </c>
      <c r="P288" s="52">
        <f t="shared" si="97"/>
        <v>21585.388000000003</v>
      </c>
      <c r="Q288" s="52">
        <f t="shared" si="97"/>
        <v>41154.955999999998</v>
      </c>
      <c r="AE288" s="42">
        <f t="shared" si="89"/>
        <v>-420812.38</v>
      </c>
      <c r="AF288" s="38"/>
    </row>
    <row r="289" spans="2:32" x14ac:dyDescent="0.2">
      <c r="B289" s="48" t="s">
        <v>565</v>
      </c>
      <c r="C289" s="48"/>
      <c r="D289" s="50" t="s">
        <v>84</v>
      </c>
      <c r="E289" s="51">
        <f>SUM(E290:E295)</f>
        <v>260540.53999999998</v>
      </c>
      <c r="F289" s="52">
        <f t="shared" ref="F289:Q289" si="98">SUM(F290:F295)</f>
        <v>110701.45200000002</v>
      </c>
      <c r="G289" s="52">
        <f t="shared" si="98"/>
        <v>17273.973500000004</v>
      </c>
      <c r="H289" s="52">
        <f t="shared" si="98"/>
        <v>21105.871999999999</v>
      </c>
      <c r="I289" s="52">
        <f t="shared" si="98"/>
        <v>18641.701500000003</v>
      </c>
      <c r="J289" s="52">
        <f t="shared" si="98"/>
        <v>14588.480000000001</v>
      </c>
      <c r="K289" s="52">
        <f t="shared" si="98"/>
        <v>10167.286500000004</v>
      </c>
      <c r="L289" s="52">
        <f t="shared" si="98"/>
        <v>15631.944000000001</v>
      </c>
      <c r="M289" s="52">
        <f t="shared" si="98"/>
        <v>15631.944000000001</v>
      </c>
      <c r="N289" s="52">
        <f t="shared" si="98"/>
        <v>16168.105500000001</v>
      </c>
      <c r="O289" s="52">
        <f t="shared" si="98"/>
        <v>4653.2889999999998</v>
      </c>
      <c r="P289" s="52">
        <f t="shared" si="98"/>
        <v>18477.888000000003</v>
      </c>
      <c r="Q289" s="52">
        <f t="shared" si="98"/>
        <v>12571.156000000001</v>
      </c>
      <c r="AF289" s="38"/>
    </row>
    <row r="290" spans="2:32" x14ac:dyDescent="0.2">
      <c r="B290" s="59" t="s">
        <v>566</v>
      </c>
      <c r="C290" s="59" t="s">
        <v>27</v>
      </c>
      <c r="D290" s="60" t="s">
        <v>86</v>
      </c>
      <c r="E290" s="61">
        <f>+'[1]BASE MENSUAL 2022 PRESUP.'!L298</f>
        <v>104664.48000000001</v>
      </c>
      <c r="F290" s="62">
        <f>44672.97*1.1</f>
        <v>49140.267000000007</v>
      </c>
      <c r="G290" s="62">
        <f>13314.7*1.1</f>
        <v>14646.170000000002</v>
      </c>
      <c r="H290" s="62">
        <f>10592.2*1.1</f>
        <v>11651.420000000002</v>
      </c>
      <c r="I290" s="62">
        <f>4532.46*1.1</f>
        <v>4985.7060000000001</v>
      </c>
      <c r="J290" s="62">
        <f>4748.11*1.1</f>
        <v>5222.9210000000003</v>
      </c>
      <c r="K290" s="62">
        <f>3657.99*1.1</f>
        <v>4023.7890000000002</v>
      </c>
      <c r="L290" s="62">
        <f>18966.72*1.1/3</f>
        <v>6954.4640000000009</v>
      </c>
      <c r="M290" s="62">
        <f t="shared" ref="M290:N290" si="99">18966.72*1.1/3</f>
        <v>6954.4640000000009</v>
      </c>
      <c r="N290" s="62">
        <f t="shared" si="99"/>
        <v>6954.4640000000009</v>
      </c>
      <c r="O290" s="62">
        <f>3790.37*1.1</f>
        <v>4169.4070000000002</v>
      </c>
      <c r="P290" s="62">
        <f>6387.96*1.1</f>
        <v>7026.7560000000003</v>
      </c>
      <c r="Q290" s="62">
        <f>5209.46*1.1</f>
        <v>5730.4060000000009</v>
      </c>
      <c r="AD290" s="38">
        <f>115872.94*1.1</f>
        <v>127460.23400000001</v>
      </c>
      <c r="AF290" s="38">
        <f t="shared" ref="AF290:AF295" si="100">+E290</f>
        <v>104664.48000000001</v>
      </c>
    </row>
    <row r="291" spans="2:32" x14ac:dyDescent="0.2">
      <c r="B291" s="59" t="s">
        <v>567</v>
      </c>
      <c r="C291" s="59" t="s">
        <v>27</v>
      </c>
      <c r="D291" s="60" t="s">
        <v>88</v>
      </c>
      <c r="E291" s="61">
        <f>+'[1]BASE MENSUAL 2022 PRESUP.'!L299</f>
        <v>136614.68999999997</v>
      </c>
      <c r="F291" s="62">
        <f>53296.31*1.05</f>
        <v>55961.125500000002</v>
      </c>
      <c r="G291" s="62">
        <v>0</v>
      </c>
      <c r="H291" s="62">
        <f>7345.92*1.05</f>
        <v>7713.2160000000003</v>
      </c>
      <c r="I291" s="62">
        <f>12353.04*1.05</f>
        <v>12970.692000000001</v>
      </c>
      <c r="J291" s="62">
        <f>8135.88*1.05</f>
        <v>8542.6740000000009</v>
      </c>
      <c r="K291" s="62">
        <f>4266.27*1.05</f>
        <v>4479.5835000000006</v>
      </c>
      <c r="L291" s="62">
        <f>23544.99*1.05/3</f>
        <v>8240.7465000000011</v>
      </c>
      <c r="M291" s="62">
        <f>23544.99*1.05/3</f>
        <v>8240.7465000000011</v>
      </c>
      <c r="N291" s="62">
        <f>23544.99*1.05/3</f>
        <v>8240.7465000000011</v>
      </c>
      <c r="O291" s="62">
        <v>0</v>
      </c>
      <c r="P291" s="62">
        <f>1883.07*1.05</f>
        <v>1977.2235000000001</v>
      </c>
      <c r="Q291" s="62">
        <f>5768.24*1.05</f>
        <v>6056.652</v>
      </c>
      <c r="AD291" s="38">
        <f>116593.72*1.03</f>
        <v>120091.5316</v>
      </c>
      <c r="AF291" s="38">
        <f t="shared" si="100"/>
        <v>136614.68999999997</v>
      </c>
    </row>
    <row r="292" spans="2:32" x14ac:dyDescent="0.2">
      <c r="B292" s="59" t="s">
        <v>568</v>
      </c>
      <c r="C292" s="59" t="s">
        <v>27</v>
      </c>
      <c r="D292" s="60" t="s">
        <v>90</v>
      </c>
      <c r="E292" s="61">
        <f>+'[1]BASE MENSUAL 2022 PRESUP.'!L300</f>
        <v>15085.07</v>
      </c>
      <c r="F292" s="62">
        <f>3439.31*1.05</f>
        <v>3611.2755000000002</v>
      </c>
      <c r="G292" s="62">
        <f>1419.82*1.05</f>
        <v>1490.8109999999999</v>
      </c>
      <c r="H292" s="62">
        <f>469.28*1.05</f>
        <v>492.74399999999997</v>
      </c>
      <c r="I292" s="62">
        <f>571.87*1.05</f>
        <v>600.46350000000007</v>
      </c>
      <c r="J292" s="62">
        <f>715.57*1.05</f>
        <v>751.34850000000006</v>
      </c>
      <c r="K292" s="62">
        <f>1010.83*1.05</f>
        <v>1061.3715000000002</v>
      </c>
      <c r="L292" s="62">
        <f>1247.81*1.05/3</f>
        <v>436.73349999999999</v>
      </c>
      <c r="M292" s="62">
        <f t="shared" ref="M292:N292" si="101">1247.81*1.05/3</f>
        <v>436.73349999999999</v>
      </c>
      <c r="N292" s="62">
        <f t="shared" si="101"/>
        <v>436.73349999999999</v>
      </c>
      <c r="O292" s="62">
        <f>460.84*1.05</f>
        <v>483.88200000000001</v>
      </c>
      <c r="P292" s="62">
        <f>9022.77*1.05</f>
        <v>9473.9085000000014</v>
      </c>
      <c r="Q292" s="62">
        <f>746.76*1.05</f>
        <v>784.09800000000007</v>
      </c>
      <c r="AF292" s="38">
        <f t="shared" si="100"/>
        <v>15085.07</v>
      </c>
    </row>
    <row r="293" spans="2:32" x14ac:dyDescent="0.2">
      <c r="B293" s="59" t="s">
        <v>569</v>
      </c>
      <c r="C293" s="59" t="s">
        <v>27</v>
      </c>
      <c r="D293" s="60" t="s">
        <v>92</v>
      </c>
      <c r="E293" s="61">
        <f>+'[1]BASE MENSUAL 2022 PRESUP.'!L301</f>
        <v>536.43999999999994</v>
      </c>
      <c r="F293" s="62">
        <f>330.16*1.05</f>
        <v>346.66800000000006</v>
      </c>
      <c r="G293" s="62">
        <f>17.18*1.05</f>
        <v>18.039000000000001</v>
      </c>
      <c r="H293" s="62">
        <f>405.79*1.05</f>
        <v>426.07950000000005</v>
      </c>
      <c r="I293" s="62">
        <v>0</v>
      </c>
      <c r="J293" s="62">
        <v>0</v>
      </c>
      <c r="K293" s="62">
        <f>164.63*1.05</f>
        <v>172.86150000000001</v>
      </c>
      <c r="L293" s="62">
        <v>0</v>
      </c>
      <c r="M293" s="62">
        <v>0</v>
      </c>
      <c r="N293" s="62">
        <f>24.78*1.05</f>
        <v>26.019000000000002</v>
      </c>
      <c r="O293" s="62">
        <v>0</v>
      </c>
      <c r="P293" s="62">
        <v>0</v>
      </c>
      <c r="Q293" s="62">
        <v>0</v>
      </c>
      <c r="AF293" s="38">
        <f t="shared" si="100"/>
        <v>536.43999999999994</v>
      </c>
    </row>
    <row r="294" spans="2:32" x14ac:dyDescent="0.2">
      <c r="B294" s="59" t="s">
        <v>570</v>
      </c>
      <c r="C294" s="59" t="s">
        <v>27</v>
      </c>
      <c r="D294" s="60" t="s">
        <v>94</v>
      </c>
      <c r="E294" s="61">
        <f>+'[1]BASE MENSUAL 2022 PRESUP.'!L302</f>
        <v>3639.8599999999997</v>
      </c>
      <c r="F294" s="62">
        <f>1339.25*1.05</f>
        <v>1406.2125000000001</v>
      </c>
      <c r="G294" s="62">
        <f>1065.67*1.05</f>
        <v>1118.9535000000001</v>
      </c>
      <c r="H294" s="62">
        <f>783.25*1.05</f>
        <v>822.41250000000002</v>
      </c>
      <c r="I294" s="62">
        <f>80.8*1.05</f>
        <v>84.84</v>
      </c>
      <c r="J294" s="62">
        <f>68.13*1.05</f>
        <v>71.536500000000004</v>
      </c>
      <c r="K294" s="62">
        <f>409.22*1.05</f>
        <v>429.68100000000004</v>
      </c>
      <c r="L294" s="62">
        <v>0</v>
      </c>
      <c r="M294" s="62">
        <v>0</v>
      </c>
      <c r="N294" s="62">
        <f>485.85*1.05</f>
        <v>510.14250000000004</v>
      </c>
      <c r="O294" s="62">
        <v>0</v>
      </c>
      <c r="P294" s="62">
        <v>0</v>
      </c>
      <c r="Q294" s="62">
        <v>0</v>
      </c>
      <c r="AF294" s="38">
        <f t="shared" si="100"/>
        <v>3639.8599999999997</v>
      </c>
    </row>
    <row r="295" spans="2:32" x14ac:dyDescent="0.2">
      <c r="B295" s="59" t="s">
        <v>571</v>
      </c>
      <c r="C295" s="59" t="s">
        <v>27</v>
      </c>
      <c r="D295" s="60" t="s">
        <v>96</v>
      </c>
      <c r="E295" s="61">
        <f>+'[1]BASE MENSUAL 2022 PRESUP.'!L303</f>
        <v>0</v>
      </c>
      <c r="F295" s="62">
        <f>224.67*1.05</f>
        <v>235.90350000000001</v>
      </c>
      <c r="G295" s="62">
        <v>0</v>
      </c>
      <c r="H295" s="62">
        <v>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  <c r="Q295" s="62">
        <v>0</v>
      </c>
      <c r="AF295" s="38">
        <f t="shared" si="100"/>
        <v>0</v>
      </c>
    </row>
    <row r="296" spans="2:32" x14ac:dyDescent="0.2">
      <c r="B296" s="48" t="s">
        <v>572</v>
      </c>
      <c r="C296" s="48"/>
      <c r="D296" s="50" t="s">
        <v>573</v>
      </c>
      <c r="E296" s="51">
        <f>+E297</f>
        <v>16271.84</v>
      </c>
      <c r="F296" s="52">
        <f t="shared" ref="F296:Q296" si="102">+F297</f>
        <v>1000</v>
      </c>
      <c r="G296" s="52">
        <f t="shared" si="102"/>
        <v>300</v>
      </c>
      <c r="H296" s="52">
        <f t="shared" si="102"/>
        <v>0</v>
      </c>
      <c r="I296" s="52">
        <f t="shared" si="102"/>
        <v>300</v>
      </c>
      <c r="J296" s="52">
        <f t="shared" si="102"/>
        <v>0</v>
      </c>
      <c r="K296" s="52">
        <f t="shared" si="102"/>
        <v>300</v>
      </c>
      <c r="L296" s="52">
        <f t="shared" si="102"/>
        <v>0</v>
      </c>
      <c r="M296" s="52">
        <f t="shared" si="102"/>
        <v>0</v>
      </c>
      <c r="N296" s="52">
        <f t="shared" si="102"/>
        <v>305.74</v>
      </c>
      <c r="O296" s="52">
        <f t="shared" si="102"/>
        <v>200</v>
      </c>
      <c r="P296" s="52">
        <f t="shared" si="102"/>
        <v>3107.5</v>
      </c>
      <c r="Q296" s="52">
        <f t="shared" si="102"/>
        <v>5583.8</v>
      </c>
      <c r="AE296" s="42">
        <f t="shared" ref="AE296:AE316" si="103">+AD296-E296</f>
        <v>-16271.84</v>
      </c>
      <c r="AF296" s="38"/>
    </row>
    <row r="297" spans="2:32" x14ac:dyDescent="0.2">
      <c r="B297" s="59" t="s">
        <v>574</v>
      </c>
      <c r="C297" s="59" t="s">
        <v>575</v>
      </c>
      <c r="D297" s="60" t="s">
        <v>576</v>
      </c>
      <c r="E297" s="61">
        <f>+'[1]BASE MENSUAL 2022 PRESUP.'!L305</f>
        <v>16271.84</v>
      </c>
      <c r="F297" s="62">
        <v>1000</v>
      </c>
      <c r="G297" s="62">
        <v>300</v>
      </c>
      <c r="H297" s="62">
        <v>0</v>
      </c>
      <c r="I297" s="62">
        <v>300</v>
      </c>
      <c r="J297" s="62">
        <v>0</v>
      </c>
      <c r="K297" s="62">
        <v>300</v>
      </c>
      <c r="L297" s="62">
        <v>0</v>
      </c>
      <c r="M297" s="62">
        <v>0</v>
      </c>
      <c r="N297" s="62">
        <v>305.74</v>
      </c>
      <c r="O297" s="62">
        <v>200</v>
      </c>
      <c r="P297" s="62">
        <v>3107.5</v>
      </c>
      <c r="Q297" s="62">
        <v>5583.8</v>
      </c>
      <c r="AD297" s="8">
        <f>10191.3*1.03</f>
        <v>10497.038999999999</v>
      </c>
      <c r="AE297" s="42">
        <f t="shared" si="103"/>
        <v>-5774.8010000000013</v>
      </c>
      <c r="AF297" s="38">
        <f>+E297</f>
        <v>16271.84</v>
      </c>
    </row>
    <row r="298" spans="2:32" x14ac:dyDescent="0.2">
      <c r="B298" s="48" t="s">
        <v>577</v>
      </c>
      <c r="C298" s="48"/>
      <c r="D298" s="50" t="s">
        <v>261</v>
      </c>
      <c r="E298" s="51">
        <f>SUM(E299:E300)</f>
        <v>0</v>
      </c>
      <c r="F298" s="52">
        <f t="shared" ref="F298:Q298" si="104">SUM(F299:F300)</f>
        <v>386.25</v>
      </c>
      <c r="G298" s="52">
        <f t="shared" si="104"/>
        <v>386.25</v>
      </c>
      <c r="H298" s="52">
        <f t="shared" si="104"/>
        <v>386.25</v>
      </c>
      <c r="I298" s="52">
        <f t="shared" si="104"/>
        <v>386.25</v>
      </c>
      <c r="J298" s="52">
        <f t="shared" si="104"/>
        <v>92.7</v>
      </c>
      <c r="K298" s="52">
        <f t="shared" si="104"/>
        <v>3000</v>
      </c>
      <c r="L298" s="52">
        <f t="shared" si="104"/>
        <v>0</v>
      </c>
      <c r="M298" s="52">
        <f t="shared" si="104"/>
        <v>0</v>
      </c>
      <c r="N298" s="52">
        <f t="shared" si="104"/>
        <v>3000</v>
      </c>
      <c r="O298" s="52">
        <f t="shared" si="104"/>
        <v>0</v>
      </c>
      <c r="P298" s="52">
        <f t="shared" si="104"/>
        <v>0</v>
      </c>
      <c r="Q298" s="52">
        <f t="shared" si="104"/>
        <v>3000</v>
      </c>
      <c r="AE298" s="42">
        <f t="shared" si="103"/>
        <v>0</v>
      </c>
      <c r="AF298" s="38"/>
    </row>
    <row r="299" spans="2:32" x14ac:dyDescent="0.2">
      <c r="B299" s="59" t="s">
        <v>578</v>
      </c>
      <c r="C299" s="59" t="s">
        <v>27</v>
      </c>
      <c r="D299" s="60" t="s">
        <v>579</v>
      </c>
      <c r="E299" s="61">
        <f>+'[1]BASE MENSUAL 2022 PRESUP.'!L307</f>
        <v>0</v>
      </c>
      <c r="F299" s="62">
        <v>386.25</v>
      </c>
      <c r="G299" s="62">
        <v>386.25</v>
      </c>
      <c r="H299" s="62">
        <v>386.25</v>
      </c>
      <c r="I299" s="62">
        <v>386.25</v>
      </c>
      <c r="J299" s="62">
        <v>92.7</v>
      </c>
      <c r="K299" s="62">
        <v>3000</v>
      </c>
      <c r="L299" s="62">
        <v>0</v>
      </c>
      <c r="M299" s="62">
        <v>0</v>
      </c>
      <c r="N299" s="62">
        <v>3000</v>
      </c>
      <c r="O299" s="62">
        <v>0</v>
      </c>
      <c r="P299" s="62">
        <v>0</v>
      </c>
      <c r="Q299" s="62">
        <v>3000</v>
      </c>
      <c r="AD299" s="8">
        <f>90*1.03</f>
        <v>92.7</v>
      </c>
      <c r="AE299" s="42">
        <f t="shared" si="103"/>
        <v>92.7</v>
      </c>
      <c r="AF299" s="38">
        <f>+E299</f>
        <v>0</v>
      </c>
    </row>
    <row r="300" spans="2:32" x14ac:dyDescent="0.2">
      <c r="B300" s="59" t="s">
        <v>580</v>
      </c>
      <c r="C300" s="59"/>
      <c r="D300" s="60" t="s">
        <v>581</v>
      </c>
      <c r="E300" s="61">
        <f>+'[1]BASE MENSUAL 2022 PRESUP.'!L308</f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AD300" s="8">
        <f>1500*1.03</f>
        <v>1545</v>
      </c>
      <c r="AE300" s="42">
        <f t="shared" si="103"/>
        <v>1545</v>
      </c>
      <c r="AF300" s="38">
        <f>+E300</f>
        <v>0</v>
      </c>
    </row>
    <row r="301" spans="2:32" x14ac:dyDescent="0.2">
      <c r="B301" s="48" t="s">
        <v>582</v>
      </c>
      <c r="C301" s="48"/>
      <c r="D301" s="50" t="s">
        <v>583</v>
      </c>
      <c r="E301" s="51">
        <f>+E302</f>
        <v>144000</v>
      </c>
      <c r="F301" s="52">
        <f t="shared" ref="F301:Q301" si="105">+F302</f>
        <v>0</v>
      </c>
      <c r="G301" s="52">
        <f t="shared" si="105"/>
        <v>0</v>
      </c>
      <c r="H301" s="52">
        <f t="shared" si="105"/>
        <v>40000</v>
      </c>
      <c r="I301" s="52">
        <f t="shared" si="105"/>
        <v>0</v>
      </c>
      <c r="J301" s="52">
        <f t="shared" si="105"/>
        <v>0</v>
      </c>
      <c r="K301" s="52">
        <f t="shared" si="105"/>
        <v>0</v>
      </c>
      <c r="L301" s="52">
        <f t="shared" si="105"/>
        <v>20000</v>
      </c>
      <c r="M301" s="52">
        <f t="shared" si="105"/>
        <v>0</v>
      </c>
      <c r="N301" s="52">
        <f t="shared" si="105"/>
        <v>0</v>
      </c>
      <c r="O301" s="52">
        <f t="shared" si="105"/>
        <v>15000</v>
      </c>
      <c r="P301" s="52">
        <f t="shared" si="105"/>
        <v>0</v>
      </c>
      <c r="Q301" s="52">
        <f t="shared" si="105"/>
        <v>20000</v>
      </c>
      <c r="AE301" s="42">
        <f t="shared" si="103"/>
        <v>-144000</v>
      </c>
      <c r="AF301" s="38"/>
    </row>
    <row r="302" spans="2:32" x14ac:dyDescent="0.2">
      <c r="B302" s="59" t="s">
        <v>584</v>
      </c>
      <c r="C302" s="59" t="s">
        <v>585</v>
      </c>
      <c r="D302" s="60" t="s">
        <v>586</v>
      </c>
      <c r="E302" s="61">
        <f>+'[1]BASE MENSUAL 2022 PRESUP.'!L310</f>
        <v>144000</v>
      </c>
      <c r="F302" s="62">
        <v>0</v>
      </c>
      <c r="G302" s="62">
        <v>0</v>
      </c>
      <c r="H302" s="62">
        <v>40000</v>
      </c>
      <c r="I302" s="62">
        <v>0</v>
      </c>
      <c r="J302" s="62">
        <v>0</v>
      </c>
      <c r="K302" s="62">
        <v>0</v>
      </c>
      <c r="L302" s="62">
        <v>20000</v>
      </c>
      <c r="M302" s="62">
        <v>0</v>
      </c>
      <c r="N302" s="62">
        <v>0</v>
      </c>
      <c r="O302" s="62">
        <v>15000</v>
      </c>
      <c r="P302" s="62">
        <v>0</v>
      </c>
      <c r="Q302" s="62">
        <v>20000</v>
      </c>
      <c r="AD302" s="8">
        <f>222000*1.03</f>
        <v>228660</v>
      </c>
      <c r="AE302" s="42">
        <f t="shared" si="103"/>
        <v>84660</v>
      </c>
      <c r="AF302" s="38">
        <f>+E302</f>
        <v>144000</v>
      </c>
    </row>
    <row r="303" spans="2:32" x14ac:dyDescent="0.2">
      <c r="B303" s="48" t="s">
        <v>587</v>
      </c>
      <c r="C303" s="48"/>
      <c r="D303" s="50" t="s">
        <v>588</v>
      </c>
      <c r="E303" s="51">
        <f>+E304</f>
        <v>0</v>
      </c>
      <c r="F303" s="52">
        <f t="shared" ref="F303:Q303" si="106">+F304</f>
        <v>1575</v>
      </c>
      <c r="G303" s="52">
        <f t="shared" si="106"/>
        <v>1000</v>
      </c>
      <c r="H303" s="52">
        <f t="shared" si="106"/>
        <v>0</v>
      </c>
      <c r="I303" s="52">
        <f t="shared" si="106"/>
        <v>0</v>
      </c>
      <c r="J303" s="52">
        <f t="shared" si="106"/>
        <v>0</v>
      </c>
      <c r="K303" s="52">
        <f t="shared" si="106"/>
        <v>0</v>
      </c>
      <c r="L303" s="52">
        <f t="shared" si="106"/>
        <v>0</v>
      </c>
      <c r="M303" s="52">
        <f t="shared" si="106"/>
        <v>0</v>
      </c>
      <c r="N303" s="52">
        <f t="shared" si="106"/>
        <v>0</v>
      </c>
      <c r="O303" s="52">
        <f t="shared" si="106"/>
        <v>0</v>
      </c>
      <c r="P303" s="52">
        <f t="shared" si="106"/>
        <v>0</v>
      </c>
      <c r="Q303" s="52">
        <f t="shared" si="106"/>
        <v>0</v>
      </c>
      <c r="AE303" s="42">
        <f t="shared" si="103"/>
        <v>0</v>
      </c>
      <c r="AF303" s="38"/>
    </row>
    <row r="304" spans="2:32" ht="10.5" customHeight="1" x14ac:dyDescent="0.2">
      <c r="B304" s="59" t="s">
        <v>589</v>
      </c>
      <c r="C304" s="59" t="s">
        <v>575</v>
      </c>
      <c r="D304" s="60" t="s">
        <v>590</v>
      </c>
      <c r="E304" s="61">
        <f>+'[1]BASE MENSUAL 2022 PRESUP.'!L312</f>
        <v>0</v>
      </c>
      <c r="F304" s="62">
        <v>1575</v>
      </c>
      <c r="G304" s="62">
        <v>1000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  <c r="Q304" s="62">
        <v>0</v>
      </c>
      <c r="AD304" s="8">
        <f>2500*1.03</f>
        <v>2575</v>
      </c>
      <c r="AE304" s="42">
        <f t="shared" si="103"/>
        <v>2575</v>
      </c>
      <c r="AF304" s="38">
        <f>+E304</f>
        <v>0</v>
      </c>
    </row>
    <row r="305" spans="2:32" s="53" customFormat="1" x14ac:dyDescent="0.2">
      <c r="B305" s="54" t="s">
        <v>591</v>
      </c>
      <c r="C305" s="54"/>
      <c r="D305" s="55" t="s">
        <v>592</v>
      </c>
      <c r="E305" s="56">
        <f>+E306</f>
        <v>0</v>
      </c>
      <c r="F305" s="73">
        <f t="shared" ref="F305:Q307" si="107">+F306</f>
        <v>0</v>
      </c>
      <c r="G305" s="73">
        <f t="shared" si="107"/>
        <v>0</v>
      </c>
      <c r="H305" s="73">
        <f t="shared" si="107"/>
        <v>0</v>
      </c>
      <c r="I305" s="73">
        <f t="shared" si="107"/>
        <v>0</v>
      </c>
      <c r="J305" s="73">
        <f t="shared" si="107"/>
        <v>0</v>
      </c>
      <c r="K305" s="73">
        <f t="shared" si="107"/>
        <v>0</v>
      </c>
      <c r="L305" s="73">
        <f t="shared" si="107"/>
        <v>0</v>
      </c>
      <c r="M305" s="73">
        <f t="shared" si="107"/>
        <v>0</v>
      </c>
      <c r="N305" s="73">
        <f t="shared" si="107"/>
        <v>0</v>
      </c>
      <c r="O305" s="73">
        <f t="shared" si="107"/>
        <v>0</v>
      </c>
      <c r="P305" s="73">
        <f t="shared" si="107"/>
        <v>0</v>
      </c>
      <c r="Q305" s="73">
        <f t="shared" si="107"/>
        <v>0</v>
      </c>
      <c r="R305" s="71"/>
      <c r="S305" s="24"/>
      <c r="T305" s="24"/>
      <c r="U305" s="24"/>
      <c r="V305" s="24"/>
      <c r="W305" s="24"/>
      <c r="X305" s="24"/>
      <c r="Y305" s="24"/>
      <c r="Z305" s="24"/>
      <c r="AD305" s="8"/>
      <c r="AE305" s="42">
        <f t="shared" si="103"/>
        <v>0</v>
      </c>
      <c r="AF305" s="67"/>
    </row>
    <row r="306" spans="2:32" x14ac:dyDescent="0.2">
      <c r="B306" s="48" t="s">
        <v>593</v>
      </c>
      <c r="C306" s="48"/>
      <c r="D306" s="50" t="s">
        <v>594</v>
      </c>
      <c r="E306" s="51">
        <f>+E307</f>
        <v>0</v>
      </c>
      <c r="F306" s="52">
        <f t="shared" si="107"/>
        <v>0</v>
      </c>
      <c r="G306" s="52">
        <f t="shared" si="107"/>
        <v>0</v>
      </c>
      <c r="H306" s="52">
        <f t="shared" si="107"/>
        <v>0</v>
      </c>
      <c r="I306" s="52">
        <f t="shared" si="107"/>
        <v>0</v>
      </c>
      <c r="J306" s="52">
        <f t="shared" si="107"/>
        <v>0</v>
      </c>
      <c r="K306" s="52">
        <f t="shared" si="107"/>
        <v>0</v>
      </c>
      <c r="L306" s="52">
        <f t="shared" si="107"/>
        <v>0</v>
      </c>
      <c r="M306" s="52">
        <f t="shared" si="107"/>
        <v>0</v>
      </c>
      <c r="N306" s="52">
        <f t="shared" si="107"/>
        <v>0</v>
      </c>
      <c r="O306" s="52">
        <f t="shared" si="107"/>
        <v>0</v>
      </c>
      <c r="P306" s="52">
        <f t="shared" si="107"/>
        <v>0</v>
      </c>
      <c r="Q306" s="52">
        <f t="shared" si="107"/>
        <v>0</v>
      </c>
      <c r="AE306" s="42">
        <f t="shared" si="103"/>
        <v>0</v>
      </c>
      <c r="AF306" s="38"/>
    </row>
    <row r="307" spans="2:32" x14ac:dyDescent="0.2">
      <c r="B307" s="48" t="s">
        <v>595</v>
      </c>
      <c r="C307" s="48"/>
      <c r="D307" s="50" t="s">
        <v>596</v>
      </c>
      <c r="E307" s="51">
        <f>+E308</f>
        <v>0</v>
      </c>
      <c r="F307" s="52">
        <f t="shared" si="107"/>
        <v>0</v>
      </c>
      <c r="G307" s="52">
        <f t="shared" si="107"/>
        <v>0</v>
      </c>
      <c r="H307" s="52">
        <f t="shared" si="107"/>
        <v>0</v>
      </c>
      <c r="I307" s="52">
        <f t="shared" si="107"/>
        <v>0</v>
      </c>
      <c r="J307" s="52">
        <f t="shared" si="107"/>
        <v>0</v>
      </c>
      <c r="K307" s="52">
        <f t="shared" si="107"/>
        <v>0</v>
      </c>
      <c r="L307" s="52">
        <f t="shared" si="107"/>
        <v>0</v>
      </c>
      <c r="M307" s="52">
        <f t="shared" si="107"/>
        <v>0</v>
      </c>
      <c r="N307" s="52">
        <f t="shared" si="107"/>
        <v>0</v>
      </c>
      <c r="O307" s="52">
        <f t="shared" si="107"/>
        <v>0</v>
      </c>
      <c r="P307" s="52">
        <f t="shared" si="107"/>
        <v>0</v>
      </c>
      <c r="Q307" s="52">
        <f t="shared" si="107"/>
        <v>0</v>
      </c>
      <c r="AE307" s="42">
        <f t="shared" si="103"/>
        <v>0</v>
      </c>
      <c r="AF307" s="38"/>
    </row>
    <row r="308" spans="2:32" x14ac:dyDescent="0.2">
      <c r="B308" s="59" t="s">
        <v>597</v>
      </c>
      <c r="C308" s="59"/>
      <c r="D308" s="60" t="s">
        <v>261</v>
      </c>
      <c r="E308" s="61">
        <f>+'[1]BASE MENSUAL 2022 PRESUP.'!L316</f>
        <v>0</v>
      </c>
      <c r="F308" s="62">
        <v>0</v>
      </c>
      <c r="G308" s="62">
        <v>0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AE308" s="42">
        <f t="shared" si="103"/>
        <v>0</v>
      </c>
      <c r="AF308" s="38">
        <f>+E308</f>
        <v>0</v>
      </c>
    </row>
    <row r="309" spans="2:32" x14ac:dyDescent="0.2">
      <c r="B309" s="74">
        <v>119</v>
      </c>
      <c r="D309" s="72" t="s">
        <v>598</v>
      </c>
      <c r="E309" s="51">
        <f>+E310</f>
        <v>0</v>
      </c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AF309" s="38"/>
    </row>
    <row r="310" spans="2:32" x14ac:dyDescent="0.2">
      <c r="B310" s="59" t="s">
        <v>599</v>
      </c>
      <c r="C310" s="59"/>
      <c r="D310" s="60" t="s">
        <v>600</v>
      </c>
      <c r="E310" s="61">
        <f>+'[1]BASE MENSUAL 2022 PRESUP.'!L317</f>
        <v>0</v>
      </c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AF310" s="38"/>
    </row>
    <row r="311" spans="2:32" x14ac:dyDescent="0.2">
      <c r="B311" s="48" t="s">
        <v>601</v>
      </c>
      <c r="C311" s="48"/>
      <c r="D311" s="50" t="s">
        <v>602</v>
      </c>
      <c r="E311" s="51">
        <f t="shared" ref="E311:R311" si="108">+E312+E331+E336</f>
        <v>105667037.76622</v>
      </c>
      <c r="F311" s="52">
        <f t="shared" si="108"/>
        <v>8900780.5156000014</v>
      </c>
      <c r="G311" s="52">
        <f t="shared" si="108"/>
        <v>10388053.535600001</v>
      </c>
      <c r="H311" s="52">
        <f t="shared" si="108"/>
        <v>11805794.895599999</v>
      </c>
      <c r="I311" s="52">
        <f t="shared" si="108"/>
        <v>8868371.7656000014</v>
      </c>
      <c r="J311" s="52">
        <f t="shared" si="108"/>
        <v>9822911.2956000008</v>
      </c>
      <c r="K311" s="52">
        <f t="shared" si="108"/>
        <v>10211425.8256</v>
      </c>
      <c r="L311" s="52">
        <f t="shared" si="108"/>
        <v>10374161.045600001</v>
      </c>
      <c r="M311" s="52">
        <f t="shared" si="108"/>
        <v>9603225.1855999995</v>
      </c>
      <c r="N311" s="52">
        <f t="shared" si="108"/>
        <v>9769206.8455999997</v>
      </c>
      <c r="O311" s="52">
        <f t="shared" si="108"/>
        <v>8986943.9756000005</v>
      </c>
      <c r="P311" s="52">
        <f t="shared" si="108"/>
        <v>5617146.8899999997</v>
      </c>
      <c r="Q311" s="52">
        <f t="shared" si="108"/>
        <v>6204674.96</v>
      </c>
      <c r="R311" s="65">
        <f t="shared" si="108"/>
        <v>0</v>
      </c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E311" s="42">
        <f t="shared" si="103"/>
        <v>-105667037.76622</v>
      </c>
      <c r="AF311" s="38"/>
    </row>
    <row r="312" spans="2:32" s="53" customFormat="1" x14ac:dyDescent="0.2">
      <c r="B312" s="54" t="s">
        <v>603</v>
      </c>
      <c r="C312" s="54"/>
      <c r="D312" s="55" t="s">
        <v>604</v>
      </c>
      <c r="E312" s="56">
        <f>+E313</f>
        <v>72480441.42622</v>
      </c>
      <c r="F312" s="73">
        <f t="shared" ref="F312:R312" si="109">+F313</f>
        <v>6052481.8400000008</v>
      </c>
      <c r="G312" s="73">
        <f t="shared" si="109"/>
        <v>7539754.8600000003</v>
      </c>
      <c r="H312" s="73">
        <f t="shared" si="109"/>
        <v>8957496.2199999988</v>
      </c>
      <c r="I312" s="73">
        <f t="shared" si="109"/>
        <v>6020073.0900000008</v>
      </c>
      <c r="J312" s="73">
        <f t="shared" si="109"/>
        <v>6974612.6200000001</v>
      </c>
      <c r="K312" s="73">
        <f t="shared" si="109"/>
        <v>7363127.1500000004</v>
      </c>
      <c r="L312" s="73">
        <f t="shared" si="109"/>
        <v>7525862.3700000001</v>
      </c>
      <c r="M312" s="73">
        <f t="shared" si="109"/>
        <v>6754926.5099999998</v>
      </c>
      <c r="N312" s="73">
        <f t="shared" si="109"/>
        <v>6920908.1699999999</v>
      </c>
      <c r="O312" s="73">
        <f t="shared" si="109"/>
        <v>6138645.2999999998</v>
      </c>
      <c r="P312" s="73">
        <f t="shared" si="109"/>
        <v>4861300.96</v>
      </c>
      <c r="Q312" s="73">
        <f t="shared" si="109"/>
        <v>5448829.0300000003</v>
      </c>
      <c r="R312" s="75">
        <f t="shared" si="109"/>
        <v>0</v>
      </c>
      <c r="S312" s="65"/>
      <c r="T312" s="65"/>
      <c r="U312" s="65"/>
      <c r="V312" s="65"/>
      <c r="W312" s="65"/>
      <c r="X312" s="65"/>
      <c r="Y312" s="65"/>
      <c r="Z312" s="65"/>
      <c r="AA312" s="76"/>
      <c r="AB312" s="76"/>
      <c r="AC312" s="76"/>
      <c r="AD312" s="8"/>
      <c r="AE312" s="42">
        <f t="shared" si="103"/>
        <v>-72480441.42622</v>
      </c>
      <c r="AF312" s="67"/>
    </row>
    <row r="313" spans="2:32" x14ac:dyDescent="0.2">
      <c r="B313" s="48" t="s">
        <v>605</v>
      </c>
      <c r="C313" s="48"/>
      <c r="D313" s="50" t="s">
        <v>606</v>
      </c>
      <c r="E313" s="51">
        <f>+E314+E318+E319+E320+E321+E322+E323+E324+E325+E326+E327+E328+E329+E330</f>
        <v>72480441.42622</v>
      </c>
      <c r="F313" s="52">
        <f t="shared" ref="F313:Q313" si="110">+F314+F318+F319+F320+F321+F322+F323+F324+F325+F326+F327+F328+F329</f>
        <v>6052481.8400000008</v>
      </c>
      <c r="G313" s="52">
        <f t="shared" si="110"/>
        <v>7539754.8600000003</v>
      </c>
      <c r="H313" s="52">
        <f t="shared" si="110"/>
        <v>8957496.2199999988</v>
      </c>
      <c r="I313" s="52">
        <f t="shared" si="110"/>
        <v>6020073.0900000008</v>
      </c>
      <c r="J313" s="52">
        <f t="shared" si="110"/>
        <v>6974612.6200000001</v>
      </c>
      <c r="K313" s="52">
        <f t="shared" si="110"/>
        <v>7363127.1500000004</v>
      </c>
      <c r="L313" s="52">
        <f t="shared" si="110"/>
        <v>7525862.3700000001</v>
      </c>
      <c r="M313" s="52">
        <f t="shared" si="110"/>
        <v>6754926.5099999998</v>
      </c>
      <c r="N313" s="52">
        <f t="shared" si="110"/>
        <v>6920908.1699999999</v>
      </c>
      <c r="O313" s="52">
        <f t="shared" si="110"/>
        <v>6138645.2999999998</v>
      </c>
      <c r="P313" s="52">
        <f t="shared" si="110"/>
        <v>4861300.96</v>
      </c>
      <c r="Q313" s="52">
        <f t="shared" si="110"/>
        <v>5448829.0300000003</v>
      </c>
      <c r="R313" s="65">
        <f>+R314</f>
        <v>0</v>
      </c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E313" s="42">
        <f t="shared" si="103"/>
        <v>-72480441.42622</v>
      </c>
      <c r="AF313" s="38"/>
    </row>
    <row r="314" spans="2:32" x14ac:dyDescent="0.2">
      <c r="B314" s="48" t="s">
        <v>607</v>
      </c>
      <c r="C314" s="48"/>
      <c r="D314" s="50" t="s">
        <v>608</v>
      </c>
      <c r="E314" s="51">
        <f>SUM(E315:E317)</f>
        <v>781706.13740000001</v>
      </c>
      <c r="F314" s="52">
        <f t="shared" ref="F314:R314" si="111">SUM(F315:F316)</f>
        <v>110763.87</v>
      </c>
      <c r="G314" s="52">
        <f t="shared" si="111"/>
        <v>104845.64</v>
      </c>
      <c r="H314" s="52">
        <f t="shared" si="111"/>
        <v>139725.22</v>
      </c>
      <c r="I314" s="52">
        <f t="shared" si="111"/>
        <v>133001.46000000002</v>
      </c>
      <c r="J314" s="52">
        <f t="shared" si="111"/>
        <v>101733.14</v>
      </c>
      <c r="K314" s="52">
        <f t="shared" si="111"/>
        <v>767846.87</v>
      </c>
      <c r="L314" s="52">
        <f t="shared" si="111"/>
        <v>203196.25</v>
      </c>
      <c r="M314" s="52">
        <f t="shared" si="111"/>
        <v>131397.9</v>
      </c>
      <c r="N314" s="52">
        <f t="shared" si="111"/>
        <v>157702.63999999998</v>
      </c>
      <c r="O314" s="52">
        <f t="shared" si="111"/>
        <v>86517.87</v>
      </c>
      <c r="P314" s="52">
        <f t="shared" si="111"/>
        <v>141807.26999999999</v>
      </c>
      <c r="Q314" s="52">
        <f t="shared" si="111"/>
        <v>109456.23000000001</v>
      </c>
      <c r="R314" s="65">
        <f t="shared" si="111"/>
        <v>0</v>
      </c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E314" s="42">
        <f t="shared" si="103"/>
        <v>-781706.13740000001</v>
      </c>
      <c r="AF314" s="38"/>
    </row>
    <row r="315" spans="2:32" x14ac:dyDescent="0.2">
      <c r="B315" s="59" t="s">
        <v>609</v>
      </c>
      <c r="C315" s="59" t="s">
        <v>27</v>
      </c>
      <c r="D315" s="60" t="s">
        <v>610</v>
      </c>
      <c r="E315" s="61">
        <f>+'[1]BASE MENSUAL 2022 PRESUP.'!L323</f>
        <v>0</v>
      </c>
      <c r="F315" s="62">
        <v>82482.73</v>
      </c>
      <c r="G315" s="62">
        <v>73143.89</v>
      </c>
      <c r="H315" s="62">
        <v>109560.44</v>
      </c>
      <c r="I315" s="62">
        <v>99651.07</v>
      </c>
      <c r="J315" s="62">
        <v>74847.89</v>
      </c>
      <c r="K315" s="62">
        <v>740278.52</v>
      </c>
      <c r="L315" s="62">
        <v>175535</v>
      </c>
      <c r="M315" s="62">
        <v>103088.46</v>
      </c>
      <c r="N315" s="62">
        <v>130470.65</v>
      </c>
      <c r="O315" s="62">
        <v>65773.62</v>
      </c>
      <c r="P315" s="62">
        <v>123493.48</v>
      </c>
      <c r="Q315" s="62">
        <v>84154.71</v>
      </c>
      <c r="AD315" s="8">
        <f>+E315*1.03</f>
        <v>0</v>
      </c>
      <c r="AE315" s="42">
        <f t="shared" si="103"/>
        <v>0</v>
      </c>
      <c r="AF315" s="38">
        <f>+E315</f>
        <v>0</v>
      </c>
    </row>
    <row r="316" spans="2:32" x14ac:dyDescent="0.2">
      <c r="B316" s="59" t="s">
        <v>611</v>
      </c>
      <c r="C316" s="59" t="s">
        <v>27</v>
      </c>
      <c r="D316" s="60" t="s">
        <v>612</v>
      </c>
      <c r="E316" s="61">
        <f>+'[1]BASE MENSUAL 2022 PRESUP.'!L324</f>
        <v>157132.21056000001</v>
      </c>
      <c r="F316" s="62">
        <v>28281.14</v>
      </c>
      <c r="G316" s="62">
        <v>31701.75</v>
      </c>
      <c r="H316" s="62">
        <v>30164.78</v>
      </c>
      <c r="I316" s="62">
        <v>33350.39</v>
      </c>
      <c r="J316" s="62">
        <v>26885.25</v>
      </c>
      <c r="K316" s="62">
        <v>27568.35</v>
      </c>
      <c r="L316" s="62">
        <v>27661.25</v>
      </c>
      <c r="M316" s="62">
        <v>28309.439999999999</v>
      </c>
      <c r="N316" s="62">
        <v>27231.99</v>
      </c>
      <c r="O316" s="62">
        <v>20744.25</v>
      </c>
      <c r="P316" s="62">
        <v>18313.79</v>
      </c>
      <c r="Q316" s="62">
        <v>25301.52</v>
      </c>
      <c r="AD316" s="8">
        <f>316032.91*1.03</f>
        <v>325513.89729999995</v>
      </c>
      <c r="AE316" s="42">
        <f t="shared" si="103"/>
        <v>168381.68673999995</v>
      </c>
      <c r="AF316" s="38">
        <f>+E316</f>
        <v>157132.21056000001</v>
      </c>
    </row>
    <row r="317" spans="2:32" x14ac:dyDescent="0.2">
      <c r="B317" s="59" t="s">
        <v>613</v>
      </c>
      <c r="C317" s="59" t="s">
        <v>27</v>
      </c>
      <c r="D317" s="60" t="s">
        <v>614</v>
      </c>
      <c r="E317" s="61">
        <f>+'[1]BASE MENSUAL 2022 PRESUP.'!L325</f>
        <v>624573.92683999997</v>
      </c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AF317" s="38"/>
    </row>
    <row r="318" spans="2:32" x14ac:dyDescent="0.2">
      <c r="B318" s="59" t="s">
        <v>615</v>
      </c>
      <c r="C318" s="59" t="s">
        <v>27</v>
      </c>
      <c r="D318" s="60" t="s">
        <v>616</v>
      </c>
      <c r="E318" s="61">
        <f>+'[1]BASE MENSUAL 2022 PRESUP.'!L326</f>
        <v>2798557.8613600004</v>
      </c>
      <c r="F318" s="62">
        <v>220842.46</v>
      </c>
      <c r="G318" s="62">
        <v>243940.26</v>
      </c>
      <c r="H318" s="62">
        <v>323649.03000000003</v>
      </c>
      <c r="I318" s="62">
        <v>226453.88</v>
      </c>
      <c r="J318" s="62">
        <v>260701.69</v>
      </c>
      <c r="K318" s="62">
        <v>312942.53999999998</v>
      </c>
      <c r="L318" s="62">
        <v>336844.29</v>
      </c>
      <c r="M318" s="62">
        <v>265500.02</v>
      </c>
      <c r="N318" s="62">
        <v>259353.12</v>
      </c>
      <c r="O318" s="62">
        <v>223089.02</v>
      </c>
      <c r="P318" s="62">
        <v>158605.29</v>
      </c>
      <c r="Q318" s="62">
        <v>238552.83</v>
      </c>
      <c r="AD318" s="8">
        <f>2981043.15*1.03</f>
        <v>3070474.4445000002</v>
      </c>
      <c r="AE318" s="42">
        <f t="shared" ref="AE318:AE339" si="112">+AD318-E318</f>
        <v>271916.58313999977</v>
      </c>
      <c r="AF318" s="38">
        <f t="shared" ref="AF318:AF329" si="113">+E318</f>
        <v>2798557.8613600004</v>
      </c>
    </row>
    <row r="319" spans="2:32" x14ac:dyDescent="0.2">
      <c r="B319" s="59" t="s">
        <v>617</v>
      </c>
      <c r="C319" s="59" t="s">
        <v>27</v>
      </c>
      <c r="D319" s="60" t="s">
        <v>618</v>
      </c>
      <c r="E319" s="61">
        <f>+'[1]BASE MENSUAL 2022 PRESUP.'!L327</f>
        <v>804454.27234000002</v>
      </c>
      <c r="F319" s="62">
        <v>85224.27</v>
      </c>
      <c r="G319" s="62">
        <v>97917.93</v>
      </c>
      <c r="H319" s="62">
        <v>88982.03</v>
      </c>
      <c r="I319" s="62">
        <v>84591.22</v>
      </c>
      <c r="J319" s="62">
        <v>93510.82</v>
      </c>
      <c r="K319" s="62">
        <v>99046.79</v>
      </c>
      <c r="L319" s="62">
        <v>96930.34</v>
      </c>
      <c r="M319" s="62">
        <v>82015.899999999994</v>
      </c>
      <c r="N319" s="62">
        <v>88631.06</v>
      </c>
      <c r="O319" s="62">
        <v>89838.88</v>
      </c>
      <c r="P319" s="62">
        <v>77854.11</v>
      </c>
      <c r="Q319" s="62">
        <v>88245.43</v>
      </c>
      <c r="AD319" s="8">
        <f>1041542.49*1.03</f>
        <v>1072788.7646999999</v>
      </c>
      <c r="AE319" s="42">
        <f t="shared" si="112"/>
        <v>268334.49235999992</v>
      </c>
      <c r="AF319" s="38">
        <f t="shared" si="113"/>
        <v>804454.27234000002</v>
      </c>
    </row>
    <row r="320" spans="2:32" x14ac:dyDescent="0.2">
      <c r="B320" s="59" t="s">
        <v>619</v>
      </c>
      <c r="C320" s="59" t="s">
        <v>27</v>
      </c>
      <c r="D320" s="60" t="s">
        <v>620</v>
      </c>
      <c r="E320" s="61">
        <f>+'[1]BASE MENSUAL 2022 PRESUP.'!L328</f>
        <v>1774390.9395199998</v>
      </c>
      <c r="F320" s="62">
        <v>132522.14000000001</v>
      </c>
      <c r="G320" s="62">
        <v>419277.15</v>
      </c>
      <c r="H320" s="62">
        <v>125425.68</v>
      </c>
      <c r="I320" s="62">
        <v>116390.27</v>
      </c>
      <c r="J320" s="62">
        <v>512846.93</v>
      </c>
      <c r="K320" s="62">
        <v>80309.820000000007</v>
      </c>
      <c r="L320" s="62">
        <v>53355.05</v>
      </c>
      <c r="M320" s="62">
        <v>360941.38</v>
      </c>
      <c r="N320" s="62">
        <v>114758.09</v>
      </c>
      <c r="O320" s="62">
        <v>383147.37</v>
      </c>
      <c r="P320" s="62">
        <v>417601.53</v>
      </c>
      <c r="Q320" s="62">
        <v>116732.5</v>
      </c>
      <c r="AD320" s="8">
        <f>2750784.36*1.03</f>
        <v>2833307.8908000002</v>
      </c>
      <c r="AE320" s="42">
        <f t="shared" si="112"/>
        <v>1058916.9512800004</v>
      </c>
      <c r="AF320" s="38">
        <f t="shared" si="113"/>
        <v>1774390.9395199998</v>
      </c>
    </row>
    <row r="321" spans="2:36" x14ac:dyDescent="0.2">
      <c r="B321" s="59" t="s">
        <v>621</v>
      </c>
      <c r="C321" s="59" t="s">
        <v>27</v>
      </c>
      <c r="D321" s="60" t="s">
        <v>622</v>
      </c>
      <c r="E321" s="61">
        <f>+'[1]BASE MENSUAL 2022 PRESUP.'!L329</f>
        <v>53632961.637099996</v>
      </c>
      <c r="F321" s="62">
        <v>4823306.95</v>
      </c>
      <c r="G321" s="62">
        <v>5431230.0800000001</v>
      </c>
      <c r="H321" s="62">
        <v>7571839.96</v>
      </c>
      <c r="I321" s="62">
        <v>4787779.1900000004</v>
      </c>
      <c r="J321" s="62">
        <v>5265897.03</v>
      </c>
      <c r="K321" s="62">
        <v>5317424.7300000004</v>
      </c>
      <c r="L321" s="62">
        <v>5572159.9000000004</v>
      </c>
      <c r="M321" s="62">
        <v>5263540.1399999997</v>
      </c>
      <c r="N321" s="62">
        <v>5129052.34</v>
      </c>
      <c r="O321" s="62">
        <v>4105175.74</v>
      </c>
      <c r="P321" s="62">
        <v>3433243.62</v>
      </c>
      <c r="Q321" s="62">
        <v>4191920.58</v>
      </c>
      <c r="AD321" s="8">
        <f>59119000.25*1.03</f>
        <v>60892570.2575</v>
      </c>
      <c r="AE321" s="42">
        <f t="shared" si="112"/>
        <v>7259608.6204000041</v>
      </c>
      <c r="AF321" s="38">
        <f t="shared" si="113"/>
        <v>53632961.637099996</v>
      </c>
    </row>
    <row r="322" spans="2:36" x14ac:dyDescent="0.2">
      <c r="B322" s="59" t="s">
        <v>623</v>
      </c>
      <c r="C322" s="59" t="s">
        <v>27</v>
      </c>
      <c r="D322" s="60" t="s">
        <v>624</v>
      </c>
      <c r="E322" s="61">
        <f>+'[1]BASE MENSUAL 2022 PRESUP.'!L330</f>
        <v>6155018.2234800011</v>
      </c>
      <c r="F322" s="62">
        <v>679822.15</v>
      </c>
      <c r="G322" s="62">
        <v>774795.05</v>
      </c>
      <c r="H322" s="62">
        <v>704088.02</v>
      </c>
      <c r="I322" s="62">
        <v>669344.9</v>
      </c>
      <c r="J322" s="62">
        <v>739923.01</v>
      </c>
      <c r="K322" s="62">
        <v>783727.4</v>
      </c>
      <c r="L322" s="62">
        <v>766980.62</v>
      </c>
      <c r="M322" s="62">
        <v>648967.09</v>
      </c>
      <c r="N322" s="62">
        <v>701310.86</v>
      </c>
      <c r="O322" s="62">
        <v>716632.16</v>
      </c>
      <c r="P322" s="62">
        <v>621031.34</v>
      </c>
      <c r="Q322" s="62">
        <v>703921.46</v>
      </c>
      <c r="AD322" s="8">
        <f>8262664.13*1.03</f>
        <v>8510544.0538999997</v>
      </c>
      <c r="AE322" s="42">
        <f t="shared" si="112"/>
        <v>2355525.8304199986</v>
      </c>
      <c r="AF322" s="38">
        <f t="shared" si="113"/>
        <v>6155018.2234800011</v>
      </c>
    </row>
    <row r="323" spans="2:36" x14ac:dyDescent="0.2">
      <c r="B323" s="59" t="s">
        <v>625</v>
      </c>
      <c r="C323" s="59" t="s">
        <v>27</v>
      </c>
      <c r="D323" s="60" t="s">
        <v>600</v>
      </c>
      <c r="E323" s="61">
        <f>+'[1]BASE MENSUAL 2022 PRESUP.'!L331</f>
        <v>6148986.8381600007</v>
      </c>
      <c r="F323" s="62">
        <v>0</v>
      </c>
      <c r="G323" s="62">
        <v>467748.75</v>
      </c>
      <c r="H323" s="62">
        <v>3786.28</v>
      </c>
      <c r="I323" s="62">
        <v>2512.17</v>
      </c>
      <c r="J323" s="62">
        <v>0</v>
      </c>
      <c r="K323" s="62">
        <v>1829</v>
      </c>
      <c r="L323" s="62">
        <v>0</v>
      </c>
      <c r="M323" s="62"/>
      <c r="N323" s="62">
        <v>470100.06</v>
      </c>
      <c r="O323" s="62">
        <v>0</v>
      </c>
      <c r="P323" s="62">
        <v>0</v>
      </c>
      <c r="Q323" s="62">
        <v>0</v>
      </c>
      <c r="AD323" s="8">
        <f>918480*1.03</f>
        <v>946034.4</v>
      </c>
      <c r="AE323" s="42">
        <f t="shared" si="112"/>
        <v>-5202952.4381600004</v>
      </c>
      <c r="AF323" s="38">
        <f t="shared" si="113"/>
        <v>6148986.8381600007</v>
      </c>
    </row>
    <row r="324" spans="2:36" x14ac:dyDescent="0.2">
      <c r="B324" s="59" t="s">
        <v>626</v>
      </c>
      <c r="C324" s="59" t="s">
        <v>27</v>
      </c>
      <c r="D324" s="60" t="s">
        <v>627</v>
      </c>
      <c r="E324" s="61">
        <f>+'[1]BASE MENSUAL 2022 PRESUP.'!L332</f>
        <v>0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413151.59</v>
      </c>
      <c r="P324" s="62">
        <v>0</v>
      </c>
      <c r="Q324" s="62">
        <v>0</v>
      </c>
      <c r="AD324" s="8">
        <f>401118.05*1.03</f>
        <v>413151.59149999998</v>
      </c>
      <c r="AE324" s="42">
        <f t="shared" si="112"/>
        <v>413151.59149999998</v>
      </c>
      <c r="AF324" s="38">
        <f t="shared" si="113"/>
        <v>0</v>
      </c>
    </row>
    <row r="325" spans="2:36" x14ac:dyDescent="0.2">
      <c r="B325" s="59" t="s">
        <v>628</v>
      </c>
      <c r="C325" s="59" t="s">
        <v>27</v>
      </c>
      <c r="D325" s="60" t="s">
        <v>629</v>
      </c>
      <c r="E325" s="61">
        <f>+'[1]BASE MENSUAL 2022 PRESUP.'!L333</f>
        <v>0</v>
      </c>
      <c r="F325" s="62">
        <v>0</v>
      </c>
      <c r="G325" s="62">
        <v>0</v>
      </c>
      <c r="H325" s="62">
        <v>0</v>
      </c>
      <c r="I325" s="62">
        <v>0</v>
      </c>
      <c r="J325" s="62">
        <v>0</v>
      </c>
      <c r="K325" s="62">
        <v>0</v>
      </c>
      <c r="L325" s="62">
        <v>0</v>
      </c>
      <c r="M325" s="62">
        <v>2564.08</v>
      </c>
      <c r="N325" s="62">
        <v>0</v>
      </c>
      <c r="O325" s="62">
        <v>121092.67</v>
      </c>
      <c r="P325" s="62">
        <v>11157.8</v>
      </c>
      <c r="Q325" s="62">
        <v>0</v>
      </c>
      <c r="AD325" s="8">
        <f>130887.92*1.03</f>
        <v>134814.5576</v>
      </c>
      <c r="AE325" s="42">
        <f t="shared" si="112"/>
        <v>134814.5576</v>
      </c>
      <c r="AF325" s="38">
        <f t="shared" si="113"/>
        <v>0</v>
      </c>
    </row>
    <row r="326" spans="2:36" x14ac:dyDescent="0.2">
      <c r="B326" s="59" t="s">
        <v>630</v>
      </c>
      <c r="C326" s="59" t="s">
        <v>27</v>
      </c>
      <c r="D326" s="60" t="s">
        <v>631</v>
      </c>
      <c r="E326" s="61">
        <f>+'[1]BASE MENSUAL 2022 PRESUP.'!L334</f>
        <v>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0</v>
      </c>
      <c r="Q326" s="62">
        <v>0</v>
      </c>
      <c r="AE326" s="42">
        <f t="shared" si="112"/>
        <v>0</v>
      </c>
      <c r="AF326" s="38">
        <f t="shared" si="113"/>
        <v>0</v>
      </c>
    </row>
    <row r="327" spans="2:36" x14ac:dyDescent="0.2">
      <c r="B327" s="59" t="s">
        <v>632</v>
      </c>
      <c r="C327" s="59" t="s">
        <v>27</v>
      </c>
      <c r="D327" s="60" t="s">
        <v>633</v>
      </c>
      <c r="E327" s="61">
        <f>+'[1]BASE MENSUAL 2022 PRESUP.'!L335</f>
        <v>0</v>
      </c>
      <c r="F327" s="62">
        <v>0</v>
      </c>
      <c r="G327" s="62">
        <v>0</v>
      </c>
      <c r="H327" s="62">
        <v>0</v>
      </c>
      <c r="I327" s="62">
        <v>0</v>
      </c>
      <c r="J327" s="62">
        <v>0</v>
      </c>
      <c r="K327" s="62">
        <v>0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AE327" s="42">
        <f t="shared" si="112"/>
        <v>0</v>
      </c>
      <c r="AF327" s="38">
        <f t="shared" si="113"/>
        <v>0</v>
      </c>
    </row>
    <row r="328" spans="2:36" x14ac:dyDescent="0.2">
      <c r="B328" s="59" t="s">
        <v>634</v>
      </c>
      <c r="C328" s="59" t="s">
        <v>27</v>
      </c>
      <c r="D328" s="60" t="s">
        <v>635</v>
      </c>
      <c r="E328" s="61">
        <f>+'[1]BASE MENSUAL 2022 PRESUP.'!L336</f>
        <v>34379.498980000004</v>
      </c>
      <c r="F328" s="62">
        <v>0</v>
      </c>
      <c r="G328" s="62">
        <v>0</v>
      </c>
      <c r="H328" s="62">
        <v>0</v>
      </c>
      <c r="I328" s="62">
        <v>0</v>
      </c>
      <c r="J328" s="62">
        <v>0</v>
      </c>
      <c r="K328" s="62">
        <v>0</v>
      </c>
      <c r="L328" s="62">
        <v>0</v>
      </c>
      <c r="M328" s="62">
        <v>0</v>
      </c>
      <c r="N328" s="62">
        <v>0</v>
      </c>
      <c r="O328" s="62">
        <v>0</v>
      </c>
      <c r="P328" s="62">
        <v>0</v>
      </c>
      <c r="Q328" s="62">
        <v>0</v>
      </c>
      <c r="AE328" s="42">
        <f t="shared" si="112"/>
        <v>-34379.498980000004</v>
      </c>
      <c r="AF328" s="38">
        <f t="shared" si="113"/>
        <v>34379.498980000004</v>
      </c>
    </row>
    <row r="329" spans="2:36" x14ac:dyDescent="0.2">
      <c r="B329" s="59" t="s">
        <v>636</v>
      </c>
      <c r="C329" s="59" t="s">
        <v>27</v>
      </c>
      <c r="D329" s="60" t="s">
        <v>637</v>
      </c>
      <c r="E329" s="61">
        <f>+'[1]BASE MENSUAL 2022 PRESUP.'!L337</f>
        <v>240690.25992000001</v>
      </c>
      <c r="F329" s="62">
        <v>0</v>
      </c>
      <c r="G329" s="62">
        <v>0</v>
      </c>
      <c r="H329" s="62">
        <v>0</v>
      </c>
      <c r="I329" s="62">
        <v>0</v>
      </c>
      <c r="J329" s="62">
        <v>0</v>
      </c>
      <c r="K329" s="62">
        <v>0</v>
      </c>
      <c r="L329" s="62">
        <v>496395.92</v>
      </c>
      <c r="M329" s="62">
        <v>0</v>
      </c>
      <c r="N329" s="62">
        <v>0</v>
      </c>
      <c r="O329" s="62">
        <v>0</v>
      </c>
      <c r="P329" s="62">
        <v>0</v>
      </c>
      <c r="Q329" s="62">
        <v>0</v>
      </c>
      <c r="AD329" s="8">
        <f>481937.79*1.03</f>
        <v>496395.92369999998</v>
      </c>
      <c r="AE329" s="42">
        <f t="shared" si="112"/>
        <v>255705.66377999997</v>
      </c>
      <c r="AF329" s="38">
        <f t="shared" si="113"/>
        <v>240690.25992000001</v>
      </c>
    </row>
    <row r="330" spans="2:36" x14ac:dyDescent="0.2">
      <c r="B330" s="59" t="s">
        <v>638</v>
      </c>
      <c r="C330" s="59" t="s">
        <v>27</v>
      </c>
      <c r="D330" s="60" t="s">
        <v>639</v>
      </c>
      <c r="E330" s="61">
        <f>+'[1]BASE MENSUAL 2022 PRESUP.'!L338</f>
        <v>109295.75795999999</v>
      </c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AF330" s="38"/>
    </row>
    <row r="331" spans="2:36" s="53" customFormat="1" x14ac:dyDescent="0.2">
      <c r="B331" s="77" t="s">
        <v>640</v>
      </c>
      <c r="C331" s="77"/>
      <c r="D331" s="78" t="s">
        <v>641</v>
      </c>
      <c r="E331" s="79">
        <f>+E332+E334</f>
        <v>32247542.340000004</v>
      </c>
      <c r="F331" s="57">
        <f t="shared" ref="F331:Q331" si="114">+F332+F334</f>
        <v>2848298.6756000002</v>
      </c>
      <c r="G331" s="57">
        <f t="shared" si="114"/>
        <v>2848298.6756000002</v>
      </c>
      <c r="H331" s="57">
        <f t="shared" si="114"/>
        <v>2848298.6756000002</v>
      </c>
      <c r="I331" s="57">
        <f t="shared" si="114"/>
        <v>2848298.6756000002</v>
      </c>
      <c r="J331" s="57">
        <f t="shared" si="114"/>
        <v>2848298.6756000002</v>
      </c>
      <c r="K331" s="57">
        <f t="shared" si="114"/>
        <v>2848298.6756000002</v>
      </c>
      <c r="L331" s="57">
        <f t="shared" si="114"/>
        <v>2848298.6756000002</v>
      </c>
      <c r="M331" s="57">
        <f t="shared" si="114"/>
        <v>2848298.6756000002</v>
      </c>
      <c r="N331" s="57">
        <f t="shared" si="114"/>
        <v>2848298.6756000002</v>
      </c>
      <c r="O331" s="57">
        <f t="shared" si="114"/>
        <v>2848298.6756000002</v>
      </c>
      <c r="P331" s="57">
        <f t="shared" si="114"/>
        <v>755845.93</v>
      </c>
      <c r="Q331" s="57">
        <f t="shared" si="114"/>
        <v>755845.93</v>
      </c>
      <c r="S331" s="24"/>
      <c r="T331" s="24"/>
      <c r="U331" s="24"/>
      <c r="V331" s="24"/>
      <c r="W331" s="24"/>
      <c r="X331" s="24"/>
      <c r="Y331" s="24"/>
      <c r="Z331" s="24"/>
      <c r="AD331" s="8"/>
      <c r="AE331" s="42">
        <f t="shared" si="112"/>
        <v>-32247542.340000004</v>
      </c>
      <c r="AF331" s="67"/>
    </row>
    <row r="332" spans="2:36" x14ac:dyDescent="0.2">
      <c r="B332" s="48" t="s">
        <v>642</v>
      </c>
      <c r="C332" s="48"/>
      <c r="D332" s="50" t="s">
        <v>643</v>
      </c>
      <c r="E332" s="51">
        <f>+E333</f>
        <v>23338313.700000007</v>
      </c>
      <c r="F332" s="52">
        <f t="shared" ref="F332:Q332" si="115">+F333</f>
        <v>2092452.7456</v>
      </c>
      <c r="G332" s="52">
        <f t="shared" si="115"/>
        <v>2092452.7456</v>
      </c>
      <c r="H332" s="52">
        <f t="shared" si="115"/>
        <v>2092452.7456</v>
      </c>
      <c r="I332" s="52">
        <f t="shared" si="115"/>
        <v>2092452.7456</v>
      </c>
      <c r="J332" s="52">
        <f t="shared" si="115"/>
        <v>2092452.7456</v>
      </c>
      <c r="K332" s="52">
        <f t="shared" si="115"/>
        <v>2092452.7456</v>
      </c>
      <c r="L332" s="52">
        <f t="shared" si="115"/>
        <v>2092452.7456</v>
      </c>
      <c r="M332" s="52">
        <f t="shared" si="115"/>
        <v>2092452.7456</v>
      </c>
      <c r="N332" s="52">
        <f t="shared" si="115"/>
        <v>2092452.7456</v>
      </c>
      <c r="O332" s="52">
        <f t="shared" si="115"/>
        <v>2092452.7456</v>
      </c>
      <c r="P332" s="52">
        <f t="shared" si="115"/>
        <v>0</v>
      </c>
      <c r="Q332" s="52">
        <f t="shared" si="115"/>
        <v>0</v>
      </c>
      <c r="AE332" s="42">
        <f t="shared" si="112"/>
        <v>-23338313.700000007</v>
      </c>
      <c r="AF332" s="38"/>
    </row>
    <row r="333" spans="2:36" x14ac:dyDescent="0.2">
      <c r="B333" s="59" t="s">
        <v>644</v>
      </c>
      <c r="C333" s="59" t="s">
        <v>27</v>
      </c>
      <c r="D333" s="60" t="s">
        <v>645</v>
      </c>
      <c r="E333" s="61">
        <f>+'[1]BASE MENSUAL 2022 PRESUP.'!L341</f>
        <v>23338313.700000007</v>
      </c>
      <c r="F333" s="62">
        <f>2031507.52*1.03</f>
        <v>2092452.7456</v>
      </c>
      <c r="G333" s="62">
        <f t="shared" ref="G333:O333" si="116">2031507.52*1.03</f>
        <v>2092452.7456</v>
      </c>
      <c r="H333" s="62">
        <f t="shared" si="116"/>
        <v>2092452.7456</v>
      </c>
      <c r="I333" s="62">
        <f t="shared" si="116"/>
        <v>2092452.7456</v>
      </c>
      <c r="J333" s="62">
        <f t="shared" si="116"/>
        <v>2092452.7456</v>
      </c>
      <c r="K333" s="62">
        <f t="shared" si="116"/>
        <v>2092452.7456</v>
      </c>
      <c r="L333" s="62">
        <f t="shared" si="116"/>
        <v>2092452.7456</v>
      </c>
      <c r="M333" s="62">
        <f t="shared" si="116"/>
        <v>2092452.7456</v>
      </c>
      <c r="N333" s="62">
        <f t="shared" si="116"/>
        <v>2092452.7456</v>
      </c>
      <c r="O333" s="62">
        <f t="shared" si="116"/>
        <v>2092452.7456</v>
      </c>
      <c r="P333" s="62">
        <v>0</v>
      </c>
      <c r="Q333" s="62">
        <v>0</v>
      </c>
      <c r="AD333" s="8">
        <f>20315075.2*1.03</f>
        <v>20924527.456</v>
      </c>
      <c r="AE333" s="42">
        <f t="shared" si="112"/>
        <v>-2413786.2440000065</v>
      </c>
      <c r="AF333" s="38">
        <f>+E333</f>
        <v>23338313.700000007</v>
      </c>
      <c r="AG333" s="8">
        <v>1696811.73</v>
      </c>
      <c r="AH333" s="80">
        <v>100</v>
      </c>
      <c r="AI333" s="8">
        <v>651202.42000000004</v>
      </c>
      <c r="AJ333" s="80">
        <v>100</v>
      </c>
    </row>
    <row r="334" spans="2:36" x14ac:dyDescent="0.2">
      <c r="B334" s="48" t="s">
        <v>646</v>
      </c>
      <c r="C334" s="48"/>
      <c r="D334" s="50" t="s">
        <v>647</v>
      </c>
      <c r="E334" s="51">
        <f>+E335</f>
        <v>8909228.6399999987</v>
      </c>
      <c r="F334" s="52">
        <f t="shared" ref="F334:R334" si="117">+F335</f>
        <v>755845.93</v>
      </c>
      <c r="G334" s="52">
        <f t="shared" si="117"/>
        <v>755845.93</v>
      </c>
      <c r="H334" s="52">
        <f t="shared" si="117"/>
        <v>755845.93</v>
      </c>
      <c r="I334" s="52">
        <f t="shared" si="117"/>
        <v>755845.93</v>
      </c>
      <c r="J334" s="52">
        <f t="shared" si="117"/>
        <v>755845.93</v>
      </c>
      <c r="K334" s="52">
        <f t="shared" si="117"/>
        <v>755845.93</v>
      </c>
      <c r="L334" s="52">
        <f t="shared" si="117"/>
        <v>755845.93</v>
      </c>
      <c r="M334" s="52">
        <f t="shared" si="117"/>
        <v>755845.93</v>
      </c>
      <c r="N334" s="52">
        <f t="shared" si="117"/>
        <v>755845.93</v>
      </c>
      <c r="O334" s="52">
        <f t="shared" si="117"/>
        <v>755845.93</v>
      </c>
      <c r="P334" s="52">
        <f t="shared" si="117"/>
        <v>755845.93</v>
      </c>
      <c r="Q334" s="52">
        <f t="shared" si="117"/>
        <v>755845.93</v>
      </c>
      <c r="R334" s="65">
        <f t="shared" si="117"/>
        <v>0</v>
      </c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E334" s="42">
        <f t="shared" si="112"/>
        <v>-8909228.6399999987</v>
      </c>
      <c r="AF334" s="38"/>
      <c r="AG334" s="8">
        <v>2031507.52</v>
      </c>
      <c r="AH334" s="80">
        <f>+AG334*AH333/AG333</f>
        <v>119.7249809205409</v>
      </c>
      <c r="AI334" s="8">
        <v>733831</v>
      </c>
      <c r="AJ334" s="80">
        <f>+AI334*AJ333/AI333</f>
        <v>112.6886168512703</v>
      </c>
    </row>
    <row r="335" spans="2:36" x14ac:dyDescent="0.2">
      <c r="B335" s="59" t="s">
        <v>648</v>
      </c>
      <c r="C335" s="59" t="s">
        <v>27</v>
      </c>
      <c r="D335" s="60" t="s">
        <v>649</v>
      </c>
      <c r="E335" s="61">
        <f>+'[1]BASE MENSUAL 2022 PRESUP.'!L343</f>
        <v>8909228.6399999987</v>
      </c>
      <c r="F335" s="62">
        <f>733831*1.03</f>
        <v>755845.93</v>
      </c>
      <c r="G335" s="62">
        <f t="shared" ref="G335:Q335" si="118">733831*1.03</f>
        <v>755845.93</v>
      </c>
      <c r="H335" s="62">
        <f t="shared" si="118"/>
        <v>755845.93</v>
      </c>
      <c r="I335" s="62">
        <f t="shared" si="118"/>
        <v>755845.93</v>
      </c>
      <c r="J335" s="62">
        <f t="shared" si="118"/>
        <v>755845.93</v>
      </c>
      <c r="K335" s="62">
        <f t="shared" si="118"/>
        <v>755845.93</v>
      </c>
      <c r="L335" s="62">
        <f t="shared" si="118"/>
        <v>755845.93</v>
      </c>
      <c r="M335" s="62">
        <f t="shared" si="118"/>
        <v>755845.93</v>
      </c>
      <c r="N335" s="62">
        <f t="shared" si="118"/>
        <v>755845.93</v>
      </c>
      <c r="O335" s="62">
        <f t="shared" si="118"/>
        <v>755845.93</v>
      </c>
      <c r="P335" s="62">
        <f t="shared" si="118"/>
        <v>755845.93</v>
      </c>
      <c r="Q335" s="62">
        <f t="shared" si="118"/>
        <v>755845.93</v>
      </c>
      <c r="AD335" s="8">
        <f>8805972*1.03</f>
        <v>9070151.1600000001</v>
      </c>
      <c r="AE335" s="42">
        <f t="shared" si="112"/>
        <v>160922.52000000142</v>
      </c>
      <c r="AF335" s="38">
        <f>+E335</f>
        <v>8909228.6399999987</v>
      </c>
      <c r="AG335" s="80"/>
      <c r="AI335" s="80"/>
    </row>
    <row r="336" spans="2:36" x14ac:dyDescent="0.2">
      <c r="B336" s="48" t="s">
        <v>650</v>
      </c>
      <c r="C336" s="48"/>
      <c r="D336" s="50" t="s">
        <v>651</v>
      </c>
      <c r="E336" s="51">
        <f>+E337</f>
        <v>939054</v>
      </c>
      <c r="F336" s="52">
        <f t="shared" ref="F336:Q338" si="119">+F337</f>
        <v>0</v>
      </c>
      <c r="G336" s="52">
        <f t="shared" si="119"/>
        <v>0</v>
      </c>
      <c r="H336" s="52">
        <f t="shared" si="119"/>
        <v>0</v>
      </c>
      <c r="I336" s="52">
        <f t="shared" si="119"/>
        <v>0</v>
      </c>
      <c r="J336" s="52">
        <f t="shared" si="119"/>
        <v>0</v>
      </c>
      <c r="K336" s="52">
        <f t="shared" si="119"/>
        <v>0</v>
      </c>
      <c r="L336" s="52">
        <f t="shared" si="119"/>
        <v>0</v>
      </c>
      <c r="M336" s="52">
        <f t="shared" si="119"/>
        <v>0</v>
      </c>
      <c r="N336" s="52">
        <f t="shared" si="119"/>
        <v>0</v>
      </c>
      <c r="O336" s="52">
        <f t="shared" si="119"/>
        <v>0</v>
      </c>
      <c r="P336" s="52">
        <f t="shared" si="119"/>
        <v>0</v>
      </c>
      <c r="Q336" s="52">
        <f t="shared" si="119"/>
        <v>0</v>
      </c>
      <c r="AE336" s="42">
        <f t="shared" si="112"/>
        <v>-939054</v>
      </c>
      <c r="AF336" s="38"/>
      <c r="AG336" s="80"/>
      <c r="AI336" s="81"/>
    </row>
    <row r="337" spans="2:32" x14ac:dyDescent="0.2">
      <c r="B337" s="48" t="s">
        <v>652</v>
      </c>
      <c r="C337" s="48"/>
      <c r="D337" s="50" t="s">
        <v>653</v>
      </c>
      <c r="E337" s="51">
        <f>+E338</f>
        <v>939054</v>
      </c>
      <c r="F337" s="52">
        <f t="shared" si="119"/>
        <v>0</v>
      </c>
      <c r="G337" s="52">
        <f t="shared" si="119"/>
        <v>0</v>
      </c>
      <c r="H337" s="52">
        <f t="shared" si="119"/>
        <v>0</v>
      </c>
      <c r="I337" s="52">
        <f t="shared" si="119"/>
        <v>0</v>
      </c>
      <c r="J337" s="52">
        <f t="shared" si="119"/>
        <v>0</v>
      </c>
      <c r="K337" s="52">
        <f t="shared" si="119"/>
        <v>0</v>
      </c>
      <c r="L337" s="52">
        <f t="shared" si="119"/>
        <v>0</v>
      </c>
      <c r="M337" s="52">
        <f t="shared" si="119"/>
        <v>0</v>
      </c>
      <c r="N337" s="52">
        <f t="shared" si="119"/>
        <v>0</v>
      </c>
      <c r="O337" s="52">
        <f t="shared" si="119"/>
        <v>0</v>
      </c>
      <c r="P337" s="52">
        <f t="shared" si="119"/>
        <v>0</v>
      </c>
      <c r="Q337" s="52">
        <f t="shared" si="119"/>
        <v>0</v>
      </c>
      <c r="AE337" s="42">
        <f t="shared" si="112"/>
        <v>-939054</v>
      </c>
      <c r="AF337" s="38"/>
    </row>
    <row r="338" spans="2:32" x14ac:dyDescent="0.2">
      <c r="B338" s="48" t="s">
        <v>654</v>
      </c>
      <c r="C338" s="48"/>
      <c r="D338" s="50" t="s">
        <v>655</v>
      </c>
      <c r="E338" s="51">
        <f>+E339</f>
        <v>939054</v>
      </c>
      <c r="F338" s="52">
        <f t="shared" si="119"/>
        <v>0</v>
      </c>
      <c r="G338" s="52">
        <f t="shared" si="119"/>
        <v>0</v>
      </c>
      <c r="H338" s="52">
        <f t="shared" si="119"/>
        <v>0</v>
      </c>
      <c r="I338" s="52">
        <f t="shared" si="119"/>
        <v>0</v>
      </c>
      <c r="J338" s="52">
        <f t="shared" si="119"/>
        <v>0</v>
      </c>
      <c r="K338" s="52">
        <f t="shared" si="119"/>
        <v>0</v>
      </c>
      <c r="L338" s="52">
        <f t="shared" si="119"/>
        <v>0</v>
      </c>
      <c r="M338" s="52">
        <f t="shared" si="119"/>
        <v>0</v>
      </c>
      <c r="N338" s="52">
        <f t="shared" si="119"/>
        <v>0</v>
      </c>
      <c r="O338" s="52">
        <f t="shared" si="119"/>
        <v>0</v>
      </c>
      <c r="P338" s="52">
        <f t="shared" si="119"/>
        <v>0</v>
      </c>
      <c r="Q338" s="52">
        <f t="shared" si="119"/>
        <v>0</v>
      </c>
      <c r="AE338" s="42">
        <f t="shared" si="112"/>
        <v>-939054</v>
      </c>
      <c r="AF338" s="38"/>
    </row>
    <row r="339" spans="2:32" x14ac:dyDescent="0.2">
      <c r="B339" s="59" t="s">
        <v>656</v>
      </c>
      <c r="C339" s="59" t="s">
        <v>242</v>
      </c>
      <c r="D339" s="60" t="s">
        <v>657</v>
      </c>
      <c r="E339" s="61">
        <f>+'[1]BASE MENSUAL 2022 PRESUP.'!L347</f>
        <v>939054</v>
      </c>
      <c r="F339" s="62">
        <v>0</v>
      </c>
      <c r="G339" s="62">
        <v>0</v>
      </c>
      <c r="H339" s="62">
        <v>0</v>
      </c>
      <c r="I339" s="62">
        <v>0</v>
      </c>
      <c r="J339" s="62">
        <v>0</v>
      </c>
      <c r="K339" s="62">
        <v>0</v>
      </c>
      <c r="L339" s="62">
        <v>0</v>
      </c>
      <c r="M339" s="62">
        <v>0</v>
      </c>
      <c r="N339" s="62">
        <v>0</v>
      </c>
      <c r="O339" s="62">
        <v>0</v>
      </c>
      <c r="P339" s="62">
        <v>0</v>
      </c>
      <c r="Q339" s="62">
        <v>0</v>
      </c>
      <c r="AE339" s="42">
        <f t="shared" si="112"/>
        <v>-939054</v>
      </c>
      <c r="AF339" s="38">
        <f>+E339</f>
        <v>939054</v>
      </c>
    </row>
    <row r="340" spans="2:32" x14ac:dyDescent="0.2">
      <c r="B340" s="82"/>
      <c r="C340" s="82"/>
      <c r="E340" s="84"/>
      <c r="AF340" s="8">
        <f>SUM(AF18:AF339)</f>
        <v>116771330.47142</v>
      </c>
    </row>
    <row r="341" spans="2:32" x14ac:dyDescent="0.2">
      <c r="B341" s="82"/>
      <c r="C341" s="82"/>
      <c r="E341" s="84"/>
    </row>
    <row r="342" spans="2:32" x14ac:dyDescent="0.2">
      <c r="B342" s="82"/>
      <c r="C342" s="82"/>
      <c r="E342" s="84"/>
    </row>
    <row r="343" spans="2:32" x14ac:dyDescent="0.2">
      <c r="B343" s="82"/>
      <c r="C343" s="82"/>
      <c r="E343" s="84"/>
    </row>
    <row r="344" spans="2:32" x14ac:dyDescent="0.2">
      <c r="B344" s="82"/>
      <c r="C344" s="82"/>
      <c r="E344" s="84"/>
    </row>
    <row r="345" spans="2:32" x14ac:dyDescent="0.2">
      <c r="B345" s="82"/>
      <c r="C345" s="82"/>
      <c r="E345" s="84"/>
    </row>
    <row r="346" spans="2:32" x14ac:dyDescent="0.2">
      <c r="B346" s="82"/>
      <c r="C346" s="82"/>
      <c r="E346" s="84"/>
    </row>
    <row r="347" spans="2:32" x14ac:dyDescent="0.2">
      <c r="B347" s="82"/>
      <c r="C347" s="82"/>
      <c r="E347" s="84"/>
    </row>
    <row r="348" spans="2:32" x14ac:dyDescent="0.2">
      <c r="B348" s="82"/>
      <c r="C348" s="82"/>
      <c r="E348" s="85"/>
      <c r="F348" s="86"/>
      <c r="G348" s="86"/>
      <c r="H348" s="86"/>
      <c r="I348" s="86"/>
      <c r="J348" s="86"/>
    </row>
    <row r="349" spans="2:32" x14ac:dyDescent="0.2">
      <c r="B349" s="82"/>
      <c r="C349" s="82"/>
      <c r="E349" s="85"/>
      <c r="F349" s="86"/>
      <c r="G349" s="86"/>
      <c r="H349" s="86"/>
      <c r="I349" s="86"/>
      <c r="J349" s="86"/>
    </row>
    <row r="350" spans="2:32" x14ac:dyDescent="0.2">
      <c r="B350" s="82"/>
      <c r="C350" s="82"/>
      <c r="E350" s="84"/>
    </row>
    <row r="351" spans="2:32" x14ac:dyDescent="0.2">
      <c r="B351" s="82"/>
      <c r="C351" s="82"/>
      <c r="E351" s="84"/>
    </row>
    <row r="352" spans="2:32" x14ac:dyDescent="0.2">
      <c r="B352" s="82"/>
      <c r="C352" s="82"/>
      <c r="E352" s="85"/>
      <c r="F352" s="86"/>
      <c r="G352" s="86"/>
      <c r="H352" s="86"/>
      <c r="I352" s="86"/>
      <c r="J352" s="86"/>
    </row>
    <row r="353" spans="2:10" x14ac:dyDescent="0.2">
      <c r="B353" s="82"/>
      <c r="C353" s="82"/>
      <c r="E353" s="84"/>
    </row>
    <row r="354" spans="2:10" x14ac:dyDescent="0.2">
      <c r="B354" s="82"/>
      <c r="C354" s="82"/>
      <c r="E354" s="84"/>
    </row>
    <row r="355" spans="2:10" x14ac:dyDescent="0.2">
      <c r="B355" s="82"/>
      <c r="C355" s="82"/>
      <c r="E355" s="84"/>
    </row>
    <row r="356" spans="2:10" x14ac:dyDescent="0.2">
      <c r="B356" s="82"/>
      <c r="C356" s="82"/>
      <c r="E356" s="84"/>
    </row>
    <row r="357" spans="2:10" x14ac:dyDescent="0.2">
      <c r="B357" s="87"/>
      <c r="C357" s="87"/>
      <c r="E357" s="85"/>
      <c r="F357" s="86"/>
      <c r="G357" s="86"/>
      <c r="H357" s="86"/>
      <c r="I357" s="86"/>
      <c r="J357" s="86"/>
    </row>
    <row r="358" spans="2:10" x14ac:dyDescent="0.2">
      <c r="B358" s="87"/>
      <c r="C358" s="87"/>
      <c r="E358" s="85"/>
      <c r="F358" s="86"/>
      <c r="G358" s="86"/>
      <c r="H358" s="86"/>
      <c r="I358" s="86"/>
      <c r="J358" s="86"/>
    </row>
    <row r="359" spans="2:10" x14ac:dyDescent="0.2">
      <c r="B359" s="82"/>
      <c r="C359" s="82"/>
      <c r="E359" s="84"/>
    </row>
    <row r="360" spans="2:10" x14ac:dyDescent="0.2">
      <c r="B360" s="82"/>
      <c r="C360" s="82"/>
      <c r="E360" s="84"/>
    </row>
    <row r="361" spans="2:10" x14ac:dyDescent="0.2">
      <c r="B361" s="87"/>
      <c r="C361" s="87"/>
      <c r="E361" s="85"/>
      <c r="F361" s="86"/>
      <c r="G361" s="86"/>
      <c r="H361" s="86"/>
      <c r="I361" s="86"/>
    </row>
    <row r="362" spans="2:10" x14ac:dyDescent="0.2">
      <c r="B362" s="82"/>
      <c r="C362" s="82"/>
      <c r="E362" s="84"/>
    </row>
    <row r="363" spans="2:10" x14ac:dyDescent="0.2">
      <c r="B363" s="82"/>
      <c r="C363" s="82"/>
      <c r="E363" s="84"/>
    </row>
    <row r="364" spans="2:10" x14ac:dyDescent="0.2">
      <c r="B364" s="82"/>
      <c r="C364" s="82"/>
      <c r="E364" s="84"/>
    </row>
    <row r="365" spans="2:10" x14ac:dyDescent="0.2">
      <c r="B365" s="82"/>
      <c r="C365" s="82"/>
      <c r="E365" s="84"/>
    </row>
    <row r="366" spans="2:10" x14ac:dyDescent="0.2">
      <c r="B366" s="87"/>
      <c r="C366" s="87"/>
      <c r="E366" s="85"/>
      <c r="F366" s="86"/>
      <c r="G366" s="86"/>
      <c r="H366" s="86"/>
      <c r="I366" s="86"/>
    </row>
    <row r="367" spans="2:10" x14ac:dyDescent="0.2">
      <c r="B367" s="87"/>
      <c r="C367" s="87"/>
      <c r="E367" s="85"/>
      <c r="F367" s="86"/>
      <c r="G367" s="86"/>
      <c r="H367" s="86"/>
      <c r="I367" s="86"/>
    </row>
    <row r="368" spans="2:10" x14ac:dyDescent="0.2">
      <c r="B368" s="82"/>
      <c r="C368" s="82"/>
      <c r="E368" s="84"/>
    </row>
    <row r="369" spans="2:10" x14ac:dyDescent="0.2">
      <c r="B369" s="82"/>
      <c r="C369" s="82"/>
      <c r="E369" s="84"/>
    </row>
    <row r="370" spans="2:10" x14ac:dyDescent="0.2">
      <c r="B370" s="82"/>
      <c r="C370" s="82"/>
      <c r="E370" s="84"/>
    </row>
    <row r="371" spans="2:10" x14ac:dyDescent="0.2">
      <c r="B371" s="82"/>
      <c r="C371" s="82"/>
      <c r="E371" s="84"/>
    </row>
    <row r="372" spans="2:10" x14ac:dyDescent="0.2">
      <c r="B372" s="82"/>
      <c r="C372" s="82"/>
      <c r="E372" s="84"/>
    </row>
    <row r="373" spans="2:10" x14ac:dyDescent="0.2">
      <c r="B373" s="82"/>
      <c r="C373" s="82"/>
      <c r="E373" s="84"/>
    </row>
    <row r="374" spans="2:10" x14ac:dyDescent="0.2">
      <c r="B374" s="82"/>
      <c r="C374" s="82"/>
      <c r="E374" s="85"/>
      <c r="F374" s="86"/>
      <c r="G374" s="86"/>
      <c r="H374" s="86"/>
      <c r="I374" s="86"/>
      <c r="J374" s="86"/>
    </row>
    <row r="375" spans="2:10" x14ac:dyDescent="0.2">
      <c r="B375" s="82"/>
      <c r="C375" s="82"/>
      <c r="E375" s="84"/>
    </row>
    <row r="376" spans="2:10" x14ac:dyDescent="0.2">
      <c r="B376" s="82"/>
      <c r="C376" s="82"/>
      <c r="E376" s="84"/>
    </row>
    <row r="377" spans="2:10" x14ac:dyDescent="0.2">
      <c r="B377" s="82"/>
      <c r="C377" s="82"/>
      <c r="E377" s="84"/>
    </row>
    <row r="378" spans="2:10" x14ac:dyDescent="0.2">
      <c r="B378" s="82"/>
      <c r="C378" s="82"/>
      <c r="E378" s="84"/>
    </row>
    <row r="379" spans="2:10" x14ac:dyDescent="0.2">
      <c r="B379" s="82"/>
      <c r="C379" s="82"/>
      <c r="E379" s="84"/>
    </row>
    <row r="380" spans="2:10" x14ac:dyDescent="0.2">
      <c r="B380" s="82"/>
      <c r="C380" s="82"/>
      <c r="E380" s="84"/>
    </row>
    <row r="381" spans="2:10" x14ac:dyDescent="0.2">
      <c r="B381" s="82"/>
      <c r="C381" s="82"/>
      <c r="E381" s="84"/>
    </row>
    <row r="382" spans="2:10" x14ac:dyDescent="0.2">
      <c r="B382" s="82"/>
      <c r="C382" s="82"/>
      <c r="E382" s="84"/>
    </row>
    <row r="383" spans="2:10" x14ac:dyDescent="0.2">
      <c r="B383" s="87"/>
      <c r="C383" s="87"/>
      <c r="E383" s="85"/>
      <c r="F383" s="86"/>
      <c r="G383" s="86"/>
      <c r="H383" s="86"/>
      <c r="I383" s="86"/>
    </row>
    <row r="384" spans="2:10" x14ac:dyDescent="0.2">
      <c r="B384" s="82"/>
      <c r="C384" s="82"/>
      <c r="E384" s="84"/>
    </row>
    <row r="385" spans="2:10" x14ac:dyDescent="0.2">
      <c r="B385" s="82"/>
      <c r="C385" s="82"/>
      <c r="E385" s="84"/>
    </row>
    <row r="386" spans="2:10" x14ac:dyDescent="0.2">
      <c r="B386" s="82"/>
      <c r="C386" s="82"/>
      <c r="E386" s="84"/>
    </row>
    <row r="387" spans="2:10" x14ac:dyDescent="0.2">
      <c r="B387" s="82"/>
      <c r="C387" s="82"/>
      <c r="E387" s="84"/>
    </row>
    <row r="388" spans="2:10" x14ac:dyDescent="0.2">
      <c r="B388" s="82"/>
      <c r="C388" s="82"/>
      <c r="E388" s="84"/>
    </row>
    <row r="389" spans="2:10" x14ac:dyDescent="0.2">
      <c r="B389" s="82"/>
      <c r="C389" s="82"/>
    </row>
    <row r="390" spans="2:10" x14ac:dyDescent="0.2">
      <c r="B390" s="82"/>
      <c r="C390" s="82"/>
      <c r="E390" s="85"/>
      <c r="F390" s="86"/>
      <c r="G390" s="86"/>
      <c r="H390" s="86"/>
      <c r="I390" s="86"/>
      <c r="J390" s="86"/>
    </row>
    <row r="391" spans="2:10" x14ac:dyDescent="0.2">
      <c r="B391" s="82"/>
      <c r="C391" s="82"/>
      <c r="E391" s="85"/>
      <c r="F391" s="86"/>
      <c r="G391" s="86"/>
      <c r="H391" s="86"/>
      <c r="I391" s="86"/>
      <c r="J391" s="86"/>
    </row>
    <row r="392" spans="2:10" x14ac:dyDescent="0.2">
      <c r="B392" s="82"/>
      <c r="C392" s="82"/>
      <c r="E392" s="85"/>
      <c r="F392" s="86"/>
      <c r="G392" s="86"/>
      <c r="H392" s="86"/>
      <c r="I392" s="86"/>
      <c r="J392" s="86"/>
    </row>
    <row r="393" spans="2:10" x14ac:dyDescent="0.2">
      <c r="B393" s="82"/>
      <c r="C393" s="82"/>
      <c r="E393" s="85"/>
      <c r="F393" s="86"/>
      <c r="G393" s="86"/>
      <c r="H393" s="86"/>
      <c r="I393" s="86"/>
      <c r="J393" s="86"/>
    </row>
    <row r="394" spans="2:10" x14ac:dyDescent="0.2">
      <c r="B394" s="82"/>
      <c r="C394" s="82"/>
      <c r="E394" s="84"/>
    </row>
    <row r="395" spans="2:10" x14ac:dyDescent="0.2">
      <c r="B395" s="82"/>
      <c r="C395" s="82"/>
      <c r="E395" s="85"/>
      <c r="F395" s="86"/>
      <c r="G395" s="86"/>
      <c r="H395" s="86"/>
      <c r="I395" s="86"/>
      <c r="J395" s="86"/>
    </row>
    <row r="396" spans="2:10" x14ac:dyDescent="0.2">
      <c r="B396" s="82"/>
      <c r="C396" s="82"/>
      <c r="E396" s="84"/>
    </row>
    <row r="397" spans="2:10" x14ac:dyDescent="0.2">
      <c r="B397" s="82"/>
      <c r="C397" s="82"/>
      <c r="E397" s="84"/>
    </row>
    <row r="398" spans="2:10" x14ac:dyDescent="0.2">
      <c r="B398" s="82"/>
      <c r="C398" s="82"/>
      <c r="E398" s="85"/>
      <c r="F398" s="86"/>
      <c r="G398" s="86"/>
      <c r="H398" s="86"/>
      <c r="I398" s="86"/>
      <c r="J398" s="86"/>
    </row>
    <row r="399" spans="2:10" x14ac:dyDescent="0.2">
      <c r="B399" s="82"/>
      <c r="C399" s="82"/>
      <c r="E399" s="84"/>
    </row>
    <row r="400" spans="2:10" x14ac:dyDescent="0.2">
      <c r="B400" s="82"/>
      <c r="C400" s="82"/>
      <c r="E400" s="85"/>
      <c r="F400" s="86"/>
      <c r="G400" s="86"/>
      <c r="H400" s="86"/>
      <c r="I400" s="86"/>
      <c r="J400" s="86"/>
    </row>
    <row r="401" spans="2:10" x14ac:dyDescent="0.2">
      <c r="B401" s="82"/>
      <c r="C401" s="82"/>
      <c r="E401" s="84"/>
    </row>
    <row r="402" spans="2:10" x14ac:dyDescent="0.2">
      <c r="E402" s="85"/>
      <c r="F402" s="86"/>
      <c r="G402" s="86"/>
      <c r="H402" s="86"/>
      <c r="I402" s="86"/>
      <c r="J402" s="86"/>
    </row>
    <row r="403" spans="2:10" x14ac:dyDescent="0.2">
      <c r="B403" s="87"/>
      <c r="C403" s="87"/>
      <c r="E403" s="85"/>
      <c r="F403" s="86"/>
      <c r="G403" s="86"/>
      <c r="H403" s="86"/>
      <c r="I403" s="86"/>
    </row>
    <row r="404" spans="2:10" x14ac:dyDescent="0.2">
      <c r="B404" s="87"/>
      <c r="C404" s="87"/>
      <c r="E404" s="85"/>
      <c r="F404" s="86"/>
      <c r="G404" s="86"/>
      <c r="H404" s="86"/>
      <c r="I404" s="86"/>
      <c r="J404" s="86"/>
    </row>
    <row r="405" spans="2:10" x14ac:dyDescent="0.2">
      <c r="B405" s="87"/>
      <c r="C405" s="87"/>
      <c r="E405" s="85"/>
      <c r="F405" s="86"/>
      <c r="G405" s="86"/>
      <c r="H405" s="86"/>
      <c r="I405" s="86"/>
    </row>
    <row r="406" spans="2:10" x14ac:dyDescent="0.2">
      <c r="B406" s="87"/>
      <c r="C406" s="87"/>
      <c r="E406" s="85"/>
      <c r="F406" s="86"/>
      <c r="G406" s="86"/>
      <c r="H406" s="86"/>
      <c r="I406" s="86"/>
    </row>
    <row r="407" spans="2:10" x14ac:dyDescent="0.2">
      <c r="B407" s="82"/>
      <c r="C407" s="82"/>
      <c r="E407" s="85"/>
      <c r="F407" s="86"/>
      <c r="G407" s="86"/>
      <c r="H407" s="86"/>
      <c r="I407" s="86"/>
      <c r="J407" s="86"/>
    </row>
    <row r="408" spans="2:10" x14ac:dyDescent="0.2">
      <c r="B408" s="87"/>
      <c r="C408" s="87"/>
      <c r="E408" s="85"/>
      <c r="F408" s="86"/>
      <c r="G408" s="86"/>
      <c r="H408" s="86"/>
      <c r="I408" s="86"/>
    </row>
    <row r="409" spans="2:10" x14ac:dyDescent="0.2">
      <c r="B409" s="82"/>
      <c r="C409" s="82"/>
      <c r="E409" s="85"/>
      <c r="F409" s="86"/>
      <c r="G409" s="86"/>
      <c r="H409" s="86"/>
      <c r="I409" s="86"/>
      <c r="J409" s="86"/>
    </row>
    <row r="410" spans="2:10" x14ac:dyDescent="0.2">
      <c r="B410" s="82"/>
      <c r="C410" s="82"/>
      <c r="E410" s="84"/>
    </row>
    <row r="411" spans="2:10" x14ac:dyDescent="0.2">
      <c r="B411" s="87"/>
      <c r="C411" s="87"/>
      <c r="E411" s="85"/>
      <c r="F411" s="86"/>
      <c r="G411" s="86"/>
      <c r="H411" s="86"/>
      <c r="I411" s="86"/>
      <c r="J411" s="86"/>
    </row>
    <row r="412" spans="2:10" x14ac:dyDescent="0.2">
      <c r="B412" s="82"/>
      <c r="C412" s="82"/>
      <c r="E412" s="84"/>
    </row>
    <row r="413" spans="2:10" x14ac:dyDescent="0.2">
      <c r="B413" s="87"/>
      <c r="C413" s="87"/>
      <c r="E413" s="85"/>
      <c r="F413" s="86"/>
      <c r="G413" s="86"/>
      <c r="H413" s="86"/>
      <c r="I413" s="86"/>
      <c r="J413" s="86"/>
    </row>
    <row r="414" spans="2:10" x14ac:dyDescent="0.2">
      <c r="B414" s="82"/>
      <c r="C414" s="82"/>
      <c r="E414" s="84"/>
    </row>
    <row r="415" spans="2:10" x14ac:dyDescent="0.2">
      <c r="B415" s="87"/>
      <c r="C415" s="87"/>
      <c r="E415" s="85"/>
      <c r="F415" s="86"/>
      <c r="G415" s="86"/>
      <c r="H415" s="86"/>
      <c r="I415" s="86"/>
    </row>
    <row r="416" spans="2:10" x14ac:dyDescent="0.2">
      <c r="B416" s="82"/>
      <c r="C416" s="82"/>
      <c r="E416" s="85"/>
      <c r="F416" s="86"/>
      <c r="G416" s="86"/>
      <c r="H416" s="86"/>
      <c r="I416" s="86"/>
      <c r="J416" s="86"/>
    </row>
    <row r="417" spans="2:10" x14ac:dyDescent="0.2">
      <c r="B417" s="87"/>
      <c r="C417" s="87"/>
      <c r="E417" s="85"/>
      <c r="F417" s="86"/>
      <c r="G417" s="86"/>
      <c r="H417" s="86"/>
      <c r="I417" s="86"/>
    </row>
    <row r="418" spans="2:10" x14ac:dyDescent="0.2">
      <c r="B418" s="82"/>
      <c r="C418" s="82"/>
      <c r="E418" s="85"/>
      <c r="F418" s="86"/>
      <c r="G418" s="86"/>
      <c r="H418" s="86"/>
      <c r="I418" s="86"/>
      <c r="J418" s="86"/>
    </row>
    <row r="419" spans="2:10" x14ac:dyDescent="0.2">
      <c r="B419" s="82"/>
      <c r="C419" s="82"/>
      <c r="E419" s="84"/>
    </row>
    <row r="420" spans="2:10" x14ac:dyDescent="0.2">
      <c r="B420" s="87"/>
      <c r="C420" s="87"/>
      <c r="E420" s="85"/>
      <c r="F420" s="86"/>
      <c r="G420" s="86"/>
      <c r="H420" s="86"/>
      <c r="I420" s="86"/>
      <c r="J420" s="86"/>
    </row>
    <row r="421" spans="2:10" x14ac:dyDescent="0.2">
      <c r="B421" s="82"/>
      <c r="C421" s="82"/>
      <c r="E421" s="84"/>
    </row>
    <row r="422" spans="2:10" x14ac:dyDescent="0.2">
      <c r="B422" s="87"/>
      <c r="C422" s="87"/>
      <c r="E422" s="85"/>
      <c r="F422" s="86"/>
      <c r="G422" s="86"/>
      <c r="H422" s="86"/>
      <c r="I422" s="86"/>
      <c r="J422" s="86"/>
    </row>
    <row r="423" spans="2:10" x14ac:dyDescent="0.2">
      <c r="B423" s="82"/>
      <c r="C423" s="82"/>
      <c r="E423" s="84"/>
    </row>
    <row r="424" spans="2:10" x14ac:dyDescent="0.2">
      <c r="B424" s="87"/>
      <c r="C424" s="87"/>
      <c r="E424" s="85"/>
      <c r="F424" s="86"/>
      <c r="G424" s="86"/>
      <c r="H424" s="86"/>
      <c r="I424" s="86"/>
      <c r="J424" s="86"/>
    </row>
    <row r="425" spans="2:10" x14ac:dyDescent="0.2">
      <c r="B425" s="82"/>
      <c r="C425" s="82"/>
      <c r="E425" s="85"/>
      <c r="F425" s="86"/>
      <c r="G425" s="86"/>
      <c r="H425" s="86"/>
      <c r="I425" s="86"/>
      <c r="J425" s="86"/>
    </row>
    <row r="426" spans="2:10" x14ac:dyDescent="0.2">
      <c r="B426" s="87"/>
      <c r="C426" s="87"/>
      <c r="E426" s="85"/>
      <c r="F426" s="86"/>
      <c r="G426" s="86"/>
      <c r="H426" s="86"/>
      <c r="I426" s="86"/>
    </row>
    <row r="427" spans="2:10" x14ac:dyDescent="0.2">
      <c r="B427" s="82"/>
      <c r="C427" s="82"/>
    </row>
    <row r="428" spans="2:10" x14ac:dyDescent="0.2">
      <c r="B428" s="82"/>
      <c r="C428" s="82"/>
      <c r="E428" s="85"/>
      <c r="F428" s="86"/>
      <c r="G428" s="86"/>
      <c r="H428" s="86"/>
      <c r="I428" s="86"/>
      <c r="J428" s="86"/>
    </row>
    <row r="429" spans="2:10" x14ac:dyDescent="0.2">
      <c r="B429" s="87"/>
      <c r="C429" s="87"/>
      <c r="E429" s="85"/>
      <c r="F429" s="86"/>
      <c r="G429" s="86"/>
      <c r="H429" s="86"/>
      <c r="I429" s="86"/>
      <c r="J429" s="86"/>
    </row>
    <row r="430" spans="2:10" x14ac:dyDescent="0.2">
      <c r="B430" s="82"/>
      <c r="C430" s="82"/>
      <c r="E430" s="85"/>
      <c r="F430" s="86"/>
      <c r="G430" s="86"/>
      <c r="H430" s="86"/>
      <c r="I430" s="86"/>
      <c r="J430" s="86"/>
    </row>
    <row r="431" spans="2:10" x14ac:dyDescent="0.2">
      <c r="B431" s="87"/>
      <c r="C431" s="87"/>
      <c r="E431" s="85"/>
      <c r="F431" s="86"/>
      <c r="G431" s="86"/>
      <c r="H431" s="86"/>
      <c r="I431" s="86"/>
      <c r="J431" s="86"/>
    </row>
    <row r="432" spans="2:10" x14ac:dyDescent="0.2">
      <c r="B432" s="82"/>
      <c r="C432" s="82"/>
      <c r="E432" s="85"/>
      <c r="F432" s="86"/>
      <c r="G432" s="86"/>
      <c r="H432" s="86"/>
      <c r="I432" s="86"/>
      <c r="J432" s="86"/>
    </row>
    <row r="433" spans="2:10" x14ac:dyDescent="0.2">
      <c r="B433" s="87"/>
      <c r="C433" s="87"/>
      <c r="E433" s="85"/>
      <c r="F433" s="86"/>
      <c r="G433" s="86"/>
      <c r="H433" s="86"/>
      <c r="I433" s="86"/>
      <c r="J433" s="86"/>
    </row>
    <row r="434" spans="2:10" x14ac:dyDescent="0.2">
      <c r="B434" s="82"/>
      <c r="C434" s="82"/>
      <c r="E434" s="84"/>
    </row>
    <row r="435" spans="2:10" x14ac:dyDescent="0.2">
      <c r="B435" s="87"/>
      <c r="C435" s="87"/>
      <c r="E435" s="85"/>
      <c r="F435" s="86"/>
      <c r="G435" s="86"/>
      <c r="H435" s="86"/>
      <c r="I435" s="86"/>
      <c r="J435" s="86"/>
    </row>
    <row r="436" spans="2:10" x14ac:dyDescent="0.2">
      <c r="B436" s="82"/>
      <c r="C436" s="82"/>
      <c r="E436" s="84"/>
    </row>
    <row r="437" spans="2:10" x14ac:dyDescent="0.2">
      <c r="B437" s="87"/>
      <c r="C437" s="87"/>
      <c r="E437" s="85"/>
      <c r="F437" s="86"/>
      <c r="G437" s="86"/>
      <c r="H437" s="86"/>
      <c r="I437" s="86"/>
      <c r="J437" s="86"/>
    </row>
    <row r="438" spans="2:10" x14ac:dyDescent="0.2">
      <c r="B438" s="82"/>
      <c r="C438" s="82"/>
      <c r="E438" s="84"/>
    </row>
    <row r="439" spans="2:10" x14ac:dyDescent="0.2">
      <c r="B439" s="87"/>
      <c r="C439" s="87"/>
      <c r="E439" s="85"/>
      <c r="F439" s="86"/>
      <c r="G439" s="86"/>
      <c r="H439" s="86"/>
      <c r="I439" s="86"/>
      <c r="J439" s="86"/>
    </row>
    <row r="440" spans="2:10" x14ac:dyDescent="0.2">
      <c r="B440" s="87"/>
      <c r="C440" s="87"/>
      <c r="E440" s="85"/>
      <c r="F440" s="86"/>
      <c r="G440" s="86"/>
      <c r="H440" s="86"/>
      <c r="I440" s="86"/>
    </row>
    <row r="441" spans="2:10" x14ac:dyDescent="0.2">
      <c r="B441" s="82"/>
      <c r="C441" s="82"/>
      <c r="E441" s="85"/>
      <c r="F441" s="86"/>
      <c r="G441" s="86"/>
      <c r="H441" s="86"/>
      <c r="I441" s="86"/>
      <c r="J441" s="86"/>
    </row>
    <row r="442" spans="2:10" x14ac:dyDescent="0.2">
      <c r="E442" s="84"/>
    </row>
    <row r="443" spans="2:10" x14ac:dyDescent="0.2">
      <c r="B443" s="87"/>
      <c r="C443" s="87"/>
      <c r="E443" s="85"/>
      <c r="F443" s="86"/>
      <c r="G443" s="86"/>
      <c r="H443" s="86"/>
      <c r="I443" s="86"/>
      <c r="J443" s="86"/>
    </row>
    <row r="444" spans="2:10" x14ac:dyDescent="0.2">
      <c r="B444" s="87"/>
      <c r="C444" s="87"/>
      <c r="E444" s="85"/>
      <c r="F444" s="86"/>
      <c r="G444" s="86"/>
      <c r="H444" s="86"/>
      <c r="I444" s="86"/>
    </row>
    <row r="445" spans="2:10" x14ac:dyDescent="0.2">
      <c r="B445" s="87"/>
      <c r="C445" s="87"/>
      <c r="E445" s="85"/>
      <c r="F445" s="86"/>
      <c r="G445" s="86"/>
      <c r="H445" s="86"/>
      <c r="I445" s="86"/>
      <c r="J445" s="86"/>
    </row>
    <row r="446" spans="2:10" x14ac:dyDescent="0.2">
      <c r="B446" s="87"/>
      <c r="C446" s="87"/>
      <c r="E446" s="85"/>
      <c r="F446" s="86"/>
      <c r="G446" s="86"/>
      <c r="H446" s="86"/>
      <c r="I446" s="86"/>
    </row>
    <row r="447" spans="2:10" x14ac:dyDescent="0.2">
      <c r="B447" s="87"/>
      <c r="C447" s="87"/>
      <c r="E447" s="85"/>
      <c r="F447" s="86"/>
      <c r="G447" s="86"/>
      <c r="H447" s="86"/>
      <c r="I447" s="86"/>
    </row>
    <row r="448" spans="2:10" x14ac:dyDescent="0.2">
      <c r="B448" s="87"/>
      <c r="C448" s="87"/>
      <c r="E448" s="85"/>
      <c r="F448" s="86"/>
      <c r="G448" s="86"/>
      <c r="H448" s="86"/>
      <c r="I448" s="86"/>
    </row>
    <row r="449" spans="2:10" x14ac:dyDescent="0.2">
      <c r="B449" s="82"/>
      <c r="C449" s="82"/>
      <c r="E449" s="85"/>
      <c r="F449" s="86"/>
      <c r="G449" s="86"/>
      <c r="H449" s="86"/>
      <c r="I449" s="86"/>
      <c r="J449" s="86"/>
    </row>
    <row r="450" spans="2:10" x14ac:dyDescent="0.2">
      <c r="B450" s="87"/>
      <c r="C450" s="87"/>
      <c r="E450" s="85"/>
      <c r="F450" s="86"/>
      <c r="G450" s="86"/>
      <c r="H450" s="86"/>
      <c r="I450" s="86"/>
      <c r="J450" s="86"/>
    </row>
    <row r="451" spans="2:10" x14ac:dyDescent="0.2">
      <c r="B451" s="82"/>
      <c r="C451" s="82"/>
      <c r="E451" s="84"/>
    </row>
    <row r="452" spans="2:10" x14ac:dyDescent="0.2">
      <c r="B452" s="87"/>
      <c r="C452" s="87"/>
      <c r="E452" s="85"/>
      <c r="F452" s="86"/>
      <c r="G452" s="86"/>
      <c r="H452" s="86"/>
      <c r="I452" s="86"/>
      <c r="J452" s="86"/>
    </row>
    <row r="453" spans="2:10" x14ac:dyDescent="0.2">
      <c r="B453" s="82"/>
      <c r="C453" s="82"/>
      <c r="E453" s="84"/>
    </row>
    <row r="454" spans="2:10" x14ac:dyDescent="0.2">
      <c r="B454" s="87"/>
      <c r="C454" s="87"/>
      <c r="E454" s="85"/>
      <c r="F454" s="86"/>
      <c r="G454" s="86"/>
      <c r="H454" s="86"/>
      <c r="I454" s="86"/>
      <c r="J454" s="86"/>
    </row>
    <row r="455" spans="2:10" x14ac:dyDescent="0.2">
      <c r="B455" s="82"/>
      <c r="C455" s="82"/>
      <c r="E455" s="84"/>
    </row>
    <row r="456" spans="2:10" x14ac:dyDescent="0.2">
      <c r="B456" s="87"/>
      <c r="C456" s="87"/>
      <c r="E456" s="85"/>
      <c r="F456" s="86"/>
      <c r="G456" s="86"/>
      <c r="H456" s="86"/>
      <c r="I456" s="86"/>
    </row>
    <row r="457" spans="2:10" x14ac:dyDescent="0.2">
      <c r="B457" s="82"/>
      <c r="C457" s="82"/>
      <c r="E457" s="84"/>
    </row>
    <row r="458" spans="2:10" x14ac:dyDescent="0.2">
      <c r="B458" s="87"/>
      <c r="C458" s="87"/>
      <c r="E458" s="85"/>
      <c r="F458" s="86"/>
      <c r="G458" s="86"/>
      <c r="H458" s="86"/>
      <c r="I458" s="86"/>
      <c r="J458" s="86"/>
    </row>
    <row r="459" spans="2:10" x14ac:dyDescent="0.2">
      <c r="B459" s="82"/>
      <c r="C459" s="82"/>
      <c r="E459" s="85"/>
      <c r="F459" s="86"/>
      <c r="G459" s="86"/>
      <c r="H459" s="86"/>
      <c r="I459" s="86"/>
      <c r="J459" s="86"/>
    </row>
    <row r="460" spans="2:10" x14ac:dyDescent="0.2">
      <c r="B460" s="87"/>
      <c r="C460" s="87"/>
      <c r="E460" s="85"/>
      <c r="F460" s="86"/>
      <c r="G460" s="86"/>
      <c r="H460" s="86"/>
      <c r="I460" s="86"/>
    </row>
    <row r="461" spans="2:10" x14ac:dyDescent="0.2">
      <c r="B461" s="82"/>
      <c r="C461" s="82"/>
      <c r="E461" s="85"/>
      <c r="F461" s="86"/>
      <c r="G461" s="86"/>
      <c r="H461" s="86"/>
      <c r="I461" s="86"/>
      <c r="J461" s="86"/>
    </row>
    <row r="462" spans="2:10" x14ac:dyDescent="0.2">
      <c r="B462" s="82"/>
      <c r="C462" s="82"/>
      <c r="E462" s="84"/>
    </row>
    <row r="463" spans="2:10" x14ac:dyDescent="0.2">
      <c r="B463" s="82"/>
      <c r="C463" s="82"/>
      <c r="E463" s="85"/>
      <c r="F463" s="86"/>
      <c r="G463" s="86"/>
      <c r="H463" s="86"/>
      <c r="I463" s="86"/>
      <c r="J463" s="86"/>
    </row>
    <row r="464" spans="2:10" x14ac:dyDescent="0.2">
      <c r="B464" s="87"/>
      <c r="C464" s="87"/>
      <c r="E464" s="85"/>
      <c r="F464" s="86"/>
      <c r="G464" s="86"/>
      <c r="H464" s="86"/>
      <c r="I464" s="86"/>
    </row>
    <row r="465" spans="2:10" x14ac:dyDescent="0.2">
      <c r="B465" s="87"/>
      <c r="C465" s="87"/>
      <c r="E465" s="85"/>
      <c r="F465" s="86"/>
      <c r="G465" s="86"/>
      <c r="H465" s="86"/>
      <c r="I465" s="86"/>
      <c r="J465" s="86"/>
    </row>
    <row r="466" spans="2:10" x14ac:dyDescent="0.2">
      <c r="B466" s="82"/>
      <c r="C466" s="82"/>
      <c r="E466" s="84"/>
    </row>
    <row r="467" spans="2:10" x14ac:dyDescent="0.2">
      <c r="B467" s="87"/>
      <c r="C467" s="87"/>
      <c r="E467" s="85"/>
      <c r="F467" s="86"/>
      <c r="G467" s="86"/>
      <c r="H467" s="86"/>
      <c r="I467" s="86"/>
      <c r="J467" s="86"/>
    </row>
    <row r="468" spans="2:10" x14ac:dyDescent="0.2">
      <c r="B468" s="82"/>
      <c r="C468" s="82"/>
      <c r="E468" s="84"/>
    </row>
    <row r="469" spans="2:10" x14ac:dyDescent="0.2">
      <c r="B469" s="87"/>
      <c r="C469" s="87"/>
      <c r="E469" s="85"/>
      <c r="F469" s="86"/>
      <c r="G469" s="86"/>
      <c r="H469" s="86"/>
      <c r="I469" s="86"/>
      <c r="J469" s="86"/>
    </row>
    <row r="470" spans="2:10" x14ac:dyDescent="0.2">
      <c r="B470" s="82"/>
      <c r="C470" s="82"/>
      <c r="E470" s="84"/>
    </row>
    <row r="471" spans="2:10" x14ac:dyDescent="0.2">
      <c r="B471" s="82"/>
      <c r="C471" s="82"/>
      <c r="E471" s="85"/>
      <c r="F471" s="86"/>
      <c r="G471" s="86"/>
      <c r="H471" s="86"/>
      <c r="I471" s="86"/>
      <c r="J471" s="86"/>
    </row>
    <row r="472" spans="2:10" x14ac:dyDescent="0.2">
      <c r="B472" s="82"/>
      <c r="C472" s="82"/>
      <c r="E472" s="84"/>
    </row>
    <row r="473" spans="2:10" x14ac:dyDescent="0.2">
      <c r="B473" s="87"/>
      <c r="C473" s="87"/>
      <c r="E473" s="85"/>
      <c r="F473" s="86"/>
      <c r="G473" s="86"/>
      <c r="H473" s="86"/>
      <c r="I473" s="86"/>
      <c r="J473" s="86"/>
    </row>
    <row r="474" spans="2:10" x14ac:dyDescent="0.2">
      <c r="B474" s="87"/>
      <c r="C474" s="87"/>
      <c r="E474" s="85"/>
      <c r="F474" s="86"/>
      <c r="G474" s="86"/>
      <c r="H474" s="86"/>
      <c r="I474" s="86"/>
    </row>
    <row r="475" spans="2:10" x14ac:dyDescent="0.2">
      <c r="B475" s="82"/>
      <c r="C475" s="82"/>
      <c r="E475" s="84"/>
    </row>
    <row r="476" spans="2:10" x14ac:dyDescent="0.2">
      <c r="B476" s="87"/>
      <c r="C476" s="87"/>
      <c r="E476" s="85"/>
      <c r="F476" s="86"/>
      <c r="G476" s="86"/>
      <c r="H476" s="86"/>
      <c r="I476" s="86"/>
    </row>
    <row r="477" spans="2:10" x14ac:dyDescent="0.2">
      <c r="B477" s="82"/>
      <c r="C477" s="82"/>
    </row>
    <row r="478" spans="2:10" x14ac:dyDescent="0.2">
      <c r="B478" s="87"/>
      <c r="C478" s="87"/>
      <c r="E478" s="85"/>
      <c r="F478" s="86"/>
      <c r="G478" s="86"/>
      <c r="H478" s="86"/>
      <c r="I478" s="86"/>
      <c r="J478" s="86"/>
    </row>
    <row r="479" spans="2:10" x14ac:dyDescent="0.2">
      <c r="B479" s="82"/>
      <c r="C479" s="82"/>
      <c r="E479" s="85"/>
      <c r="F479" s="86"/>
      <c r="G479" s="86"/>
      <c r="H479" s="86"/>
      <c r="I479" s="86"/>
      <c r="J479" s="86"/>
    </row>
    <row r="480" spans="2:10" x14ac:dyDescent="0.2">
      <c r="B480" s="87"/>
      <c r="C480" s="87"/>
      <c r="E480" s="85"/>
      <c r="F480" s="86"/>
      <c r="G480" s="86"/>
      <c r="H480" s="86"/>
      <c r="I480" s="86"/>
      <c r="J480" s="86"/>
    </row>
    <row r="481" spans="2:10" x14ac:dyDescent="0.2">
      <c r="B481" s="82"/>
      <c r="C481" s="82"/>
      <c r="E481" s="85"/>
      <c r="F481" s="86"/>
      <c r="G481" s="86"/>
      <c r="H481" s="86"/>
      <c r="I481" s="86"/>
      <c r="J481" s="86"/>
    </row>
    <row r="482" spans="2:10" x14ac:dyDescent="0.2">
      <c r="B482" s="87"/>
      <c r="C482" s="87"/>
      <c r="E482" s="85"/>
      <c r="F482" s="86"/>
      <c r="G482" s="86"/>
      <c r="H482" s="86"/>
      <c r="I482" s="86"/>
    </row>
    <row r="483" spans="2:10" x14ac:dyDescent="0.2">
      <c r="B483" s="82"/>
      <c r="C483" s="82"/>
    </row>
    <row r="484" spans="2:10" x14ac:dyDescent="0.2">
      <c r="B484" s="87"/>
      <c r="C484" s="87"/>
      <c r="E484" s="85"/>
      <c r="F484" s="86"/>
      <c r="G484" s="86"/>
      <c r="H484" s="86"/>
      <c r="I484" s="86"/>
      <c r="J484" s="86"/>
    </row>
    <row r="485" spans="2:10" x14ac:dyDescent="0.2">
      <c r="B485" s="82"/>
      <c r="C485" s="82"/>
      <c r="E485" s="85"/>
      <c r="F485" s="86"/>
      <c r="G485" s="86"/>
      <c r="H485" s="86"/>
      <c r="I485" s="86"/>
      <c r="J485" s="86"/>
    </row>
    <row r="486" spans="2:10" x14ac:dyDescent="0.2">
      <c r="B486" s="87"/>
      <c r="C486" s="87"/>
      <c r="E486" s="85"/>
      <c r="F486" s="86"/>
      <c r="G486" s="86"/>
      <c r="H486" s="86"/>
      <c r="I486" s="86"/>
      <c r="J486" s="86"/>
    </row>
    <row r="487" spans="2:10" x14ac:dyDescent="0.2">
      <c r="B487" s="82"/>
      <c r="C487" s="82"/>
      <c r="E487" s="85"/>
      <c r="F487" s="86"/>
      <c r="G487" s="86"/>
      <c r="H487" s="86"/>
      <c r="I487" s="86"/>
      <c r="J487" s="86"/>
    </row>
    <row r="488" spans="2:10" x14ac:dyDescent="0.2">
      <c r="B488" s="87"/>
      <c r="C488" s="87"/>
      <c r="E488" s="85"/>
      <c r="F488" s="86"/>
      <c r="G488" s="86"/>
      <c r="H488" s="86"/>
      <c r="I488" s="86"/>
    </row>
    <row r="489" spans="2:10" x14ac:dyDescent="0.2">
      <c r="B489" s="82"/>
      <c r="C489" s="82"/>
    </row>
    <row r="490" spans="2:10" x14ac:dyDescent="0.2">
      <c r="B490" s="82"/>
      <c r="C490" s="82"/>
      <c r="E490" s="85"/>
      <c r="F490" s="86"/>
      <c r="G490" s="86"/>
      <c r="H490" s="86"/>
      <c r="I490" s="86"/>
      <c r="J490" s="86"/>
    </row>
    <row r="491" spans="2:10" x14ac:dyDescent="0.2">
      <c r="B491" s="82"/>
      <c r="C491" s="82"/>
      <c r="E491" s="85"/>
      <c r="F491" s="86"/>
      <c r="G491" s="86"/>
      <c r="H491" s="86"/>
      <c r="I491" s="86"/>
      <c r="J491" s="86"/>
    </row>
    <row r="492" spans="2:10" x14ac:dyDescent="0.2">
      <c r="E492" s="85"/>
      <c r="F492" s="86"/>
      <c r="G492" s="86"/>
      <c r="H492" s="86"/>
      <c r="I492" s="86"/>
      <c r="J492" s="86"/>
    </row>
    <row r="493" spans="2:10" x14ac:dyDescent="0.2">
      <c r="B493" s="87"/>
      <c r="C493" s="87"/>
      <c r="E493" s="85"/>
      <c r="F493" s="86"/>
      <c r="G493" s="86"/>
      <c r="H493" s="86"/>
      <c r="I493" s="86"/>
      <c r="J493" s="86"/>
    </row>
    <row r="494" spans="2:10" x14ac:dyDescent="0.2">
      <c r="B494" s="87"/>
      <c r="C494" s="87"/>
      <c r="E494" s="85"/>
      <c r="F494" s="86"/>
      <c r="G494" s="86"/>
      <c r="H494" s="86"/>
      <c r="I494" s="86"/>
      <c r="J494" s="86"/>
    </row>
    <row r="495" spans="2:10" x14ac:dyDescent="0.2">
      <c r="B495" s="87"/>
      <c r="C495" s="87"/>
      <c r="E495" s="85"/>
      <c r="F495" s="86"/>
      <c r="G495" s="86"/>
      <c r="H495" s="86"/>
      <c r="I495" s="86"/>
      <c r="J495" s="86"/>
    </row>
    <row r="496" spans="2:10" x14ac:dyDescent="0.2">
      <c r="B496" s="87"/>
      <c r="C496" s="87"/>
      <c r="E496" s="85"/>
      <c r="F496" s="86"/>
      <c r="G496" s="86"/>
      <c r="H496" s="86"/>
      <c r="I496" s="86"/>
    </row>
    <row r="497" spans="2:10" x14ac:dyDescent="0.2">
      <c r="B497" s="82"/>
      <c r="C497" s="82"/>
      <c r="E497" s="84"/>
    </row>
    <row r="498" spans="2:10" x14ac:dyDescent="0.2">
      <c r="E498" s="84"/>
    </row>
    <row r="499" spans="2:10" x14ac:dyDescent="0.2">
      <c r="B499" s="87"/>
      <c r="C499" s="87"/>
      <c r="E499" s="85"/>
      <c r="F499" s="86"/>
      <c r="G499" s="86"/>
      <c r="H499" s="86"/>
      <c r="I499" s="86"/>
    </row>
    <row r="500" spans="2:10" x14ac:dyDescent="0.2">
      <c r="B500" s="87"/>
      <c r="C500" s="87"/>
      <c r="E500" s="85"/>
      <c r="F500" s="86"/>
      <c r="G500" s="86"/>
      <c r="H500" s="86"/>
      <c r="I500" s="86"/>
    </row>
    <row r="501" spans="2:10" x14ac:dyDescent="0.2">
      <c r="B501" s="87"/>
      <c r="C501" s="87"/>
      <c r="E501" s="85"/>
      <c r="F501" s="86"/>
      <c r="G501" s="86"/>
      <c r="H501" s="86"/>
      <c r="I501" s="86"/>
    </row>
    <row r="502" spans="2:10" x14ac:dyDescent="0.2">
      <c r="B502" s="87"/>
      <c r="C502" s="87"/>
      <c r="E502" s="85"/>
      <c r="F502" s="86"/>
      <c r="G502" s="86"/>
      <c r="H502" s="86"/>
      <c r="I502" s="86"/>
      <c r="J502" s="86"/>
    </row>
    <row r="503" spans="2:10" x14ac:dyDescent="0.2">
      <c r="B503" s="82"/>
      <c r="C503" s="82"/>
      <c r="E503" s="84"/>
    </row>
    <row r="504" spans="2:10" x14ac:dyDescent="0.2">
      <c r="E504" s="84"/>
    </row>
    <row r="505" spans="2:10" x14ac:dyDescent="0.2">
      <c r="B505" s="87"/>
      <c r="C505" s="87"/>
      <c r="E505" s="85"/>
      <c r="F505" s="86"/>
      <c r="G505" s="86"/>
      <c r="H505" s="86"/>
      <c r="I505" s="86"/>
    </row>
    <row r="506" spans="2:10" x14ac:dyDescent="0.2">
      <c r="B506" s="87"/>
      <c r="C506" s="87"/>
      <c r="E506" s="85"/>
      <c r="F506" s="86"/>
      <c r="G506" s="86"/>
      <c r="H506" s="86"/>
      <c r="I506" s="86"/>
      <c r="J506" s="86"/>
    </row>
    <row r="507" spans="2:10" x14ac:dyDescent="0.2">
      <c r="B507" s="87"/>
      <c r="C507" s="87"/>
      <c r="E507" s="85"/>
      <c r="F507" s="86"/>
      <c r="G507" s="86"/>
      <c r="H507" s="86"/>
      <c r="I507" s="86"/>
    </row>
    <row r="508" spans="2:10" x14ac:dyDescent="0.2">
      <c r="B508" s="87"/>
      <c r="C508" s="87"/>
      <c r="E508" s="85"/>
      <c r="F508" s="86"/>
      <c r="G508" s="86"/>
      <c r="H508" s="86"/>
      <c r="I508" s="86"/>
    </row>
    <row r="509" spans="2:10" x14ac:dyDescent="0.2">
      <c r="B509" s="87"/>
      <c r="C509" s="87"/>
      <c r="E509" s="85"/>
      <c r="F509" s="86"/>
      <c r="G509" s="86"/>
      <c r="H509" s="86"/>
      <c r="I509" s="86"/>
    </row>
    <row r="510" spans="2:10" x14ac:dyDescent="0.2">
      <c r="B510" s="87"/>
      <c r="C510" s="87"/>
      <c r="E510" s="85"/>
      <c r="F510" s="86"/>
      <c r="G510" s="86"/>
      <c r="H510" s="86"/>
      <c r="I510" s="86"/>
    </row>
    <row r="511" spans="2:10" x14ac:dyDescent="0.2">
      <c r="B511" s="82"/>
      <c r="C511" s="82"/>
      <c r="E511" s="84"/>
    </row>
    <row r="512" spans="2:10" x14ac:dyDescent="0.2">
      <c r="B512" s="82"/>
      <c r="C512" s="82"/>
      <c r="E512" s="84"/>
    </row>
    <row r="513" spans="2:10" x14ac:dyDescent="0.2">
      <c r="B513" s="82"/>
      <c r="C513" s="82"/>
      <c r="E513" s="85"/>
      <c r="F513" s="86"/>
      <c r="G513" s="86"/>
      <c r="H513" s="86"/>
      <c r="I513" s="86"/>
      <c r="J513" s="86"/>
    </row>
    <row r="514" spans="2:10" x14ac:dyDescent="0.2">
      <c r="B514" s="82"/>
      <c r="C514" s="82"/>
      <c r="E514" s="85"/>
      <c r="F514" s="86"/>
      <c r="G514" s="86"/>
      <c r="H514" s="86"/>
      <c r="I514" s="86"/>
      <c r="J514" s="86"/>
    </row>
    <row r="515" spans="2:10" x14ac:dyDescent="0.2">
      <c r="B515" s="82"/>
      <c r="C515" s="82"/>
      <c r="E515" s="84"/>
    </row>
    <row r="516" spans="2:10" x14ac:dyDescent="0.2">
      <c r="B516" s="82"/>
      <c r="C516" s="82"/>
      <c r="E516" s="84"/>
    </row>
    <row r="517" spans="2:10" x14ac:dyDescent="0.2">
      <c r="B517" s="87"/>
      <c r="C517" s="87"/>
      <c r="E517" s="85"/>
      <c r="F517" s="86"/>
      <c r="G517" s="86"/>
      <c r="H517" s="86"/>
      <c r="I517" s="86"/>
    </row>
    <row r="518" spans="2:10" x14ac:dyDescent="0.2">
      <c r="B518" s="82"/>
      <c r="C518" s="82"/>
      <c r="E518" s="84"/>
    </row>
    <row r="519" spans="2:10" x14ac:dyDescent="0.2">
      <c r="B519" s="82"/>
      <c r="C519" s="82"/>
      <c r="E519" s="84"/>
    </row>
    <row r="520" spans="2:10" x14ac:dyDescent="0.2">
      <c r="B520" s="82"/>
      <c r="C520" s="82"/>
      <c r="E520" s="84"/>
    </row>
    <row r="521" spans="2:10" x14ac:dyDescent="0.2">
      <c r="B521" s="87"/>
      <c r="C521" s="87"/>
      <c r="E521" s="85"/>
      <c r="F521" s="86"/>
      <c r="G521" s="86"/>
      <c r="H521" s="86"/>
      <c r="I521" s="86"/>
      <c r="J521" s="86"/>
    </row>
    <row r="522" spans="2:10" x14ac:dyDescent="0.2">
      <c r="B522" s="82"/>
      <c r="C522" s="82"/>
      <c r="E522" s="84"/>
    </row>
    <row r="523" spans="2:10" x14ac:dyDescent="0.2">
      <c r="B523" s="82"/>
      <c r="C523" s="82"/>
      <c r="E523" s="84"/>
    </row>
    <row r="524" spans="2:10" x14ac:dyDescent="0.2">
      <c r="B524" s="82"/>
      <c r="C524" s="82"/>
      <c r="E524" s="85"/>
      <c r="F524" s="86"/>
      <c r="G524" s="86"/>
      <c r="H524" s="86"/>
      <c r="I524" s="86"/>
      <c r="J524" s="86"/>
    </row>
    <row r="525" spans="2:10" x14ac:dyDescent="0.2">
      <c r="B525" s="82"/>
      <c r="C525" s="82"/>
      <c r="E525" s="84"/>
    </row>
    <row r="526" spans="2:10" x14ac:dyDescent="0.2">
      <c r="B526" s="82"/>
      <c r="C526" s="82"/>
      <c r="E526" s="84"/>
    </row>
    <row r="527" spans="2:10" x14ac:dyDescent="0.2">
      <c r="B527" s="82"/>
      <c r="C527" s="82"/>
      <c r="E527" s="85"/>
      <c r="F527" s="86"/>
      <c r="G527" s="86"/>
      <c r="H527" s="86"/>
      <c r="I527" s="86"/>
      <c r="J527" s="86"/>
    </row>
    <row r="528" spans="2:10" x14ac:dyDescent="0.2">
      <c r="B528" s="87"/>
      <c r="C528" s="87"/>
      <c r="E528" s="85"/>
      <c r="F528" s="86"/>
      <c r="G528" s="86"/>
      <c r="H528" s="86"/>
      <c r="I528" s="86"/>
      <c r="J528" s="86"/>
    </row>
    <row r="529" spans="2:10" x14ac:dyDescent="0.2">
      <c r="B529" s="87"/>
      <c r="C529" s="87"/>
      <c r="E529" s="85"/>
      <c r="F529" s="86"/>
      <c r="G529" s="86"/>
      <c r="H529" s="86"/>
      <c r="I529" s="86"/>
    </row>
    <row r="530" spans="2:10" x14ac:dyDescent="0.2">
      <c r="B530" s="82"/>
      <c r="C530" s="82"/>
    </row>
    <row r="531" spans="2:10" x14ac:dyDescent="0.2">
      <c r="B531" s="82"/>
      <c r="C531" s="82"/>
      <c r="E531" s="85"/>
      <c r="F531" s="86"/>
      <c r="G531" s="86"/>
      <c r="H531" s="86"/>
      <c r="I531" s="86"/>
      <c r="J531" s="86"/>
    </row>
    <row r="532" spans="2:10" x14ac:dyDescent="0.2">
      <c r="B532" s="82"/>
      <c r="C532" s="82"/>
      <c r="E532" s="85"/>
      <c r="F532" s="86"/>
      <c r="G532" s="86"/>
      <c r="H532" s="86"/>
      <c r="I532" s="86"/>
      <c r="J532" s="86"/>
    </row>
    <row r="533" spans="2:10" x14ac:dyDescent="0.2">
      <c r="B533" s="82"/>
      <c r="C533" s="82"/>
      <c r="E533" s="85"/>
      <c r="F533" s="86"/>
      <c r="G533" s="86"/>
      <c r="H533" s="86"/>
      <c r="I533" s="86"/>
      <c r="J533" s="86"/>
    </row>
    <row r="534" spans="2:10" x14ac:dyDescent="0.2">
      <c r="B534" s="82"/>
      <c r="C534" s="82"/>
      <c r="E534" s="85"/>
      <c r="F534" s="86"/>
      <c r="G534" s="86"/>
      <c r="H534" s="86"/>
      <c r="I534" s="86"/>
      <c r="J534" s="86"/>
    </row>
    <row r="535" spans="2:10" x14ac:dyDescent="0.2">
      <c r="B535" s="82"/>
      <c r="C535" s="82"/>
      <c r="E535" s="85"/>
      <c r="F535" s="86"/>
      <c r="G535" s="86"/>
      <c r="H535" s="86"/>
      <c r="I535" s="86"/>
      <c r="J535" s="86"/>
    </row>
    <row r="536" spans="2:10" x14ac:dyDescent="0.2">
      <c r="B536" s="87"/>
      <c r="C536" s="87"/>
      <c r="E536" s="85"/>
      <c r="F536" s="86"/>
      <c r="G536" s="86"/>
      <c r="H536" s="86"/>
      <c r="I536" s="86"/>
      <c r="J536" s="86"/>
    </row>
    <row r="537" spans="2:10" x14ac:dyDescent="0.2">
      <c r="B537" s="82"/>
      <c r="C537" s="82"/>
      <c r="E537" s="84"/>
    </row>
    <row r="538" spans="2:10" x14ac:dyDescent="0.2">
      <c r="B538" s="82"/>
      <c r="C538" s="82"/>
      <c r="E538" s="85"/>
      <c r="F538" s="86"/>
      <c r="G538" s="86"/>
      <c r="H538" s="86"/>
      <c r="I538" s="86"/>
      <c r="J538" s="86"/>
    </row>
    <row r="539" spans="2:10" x14ac:dyDescent="0.2">
      <c r="B539" s="87"/>
      <c r="C539" s="87"/>
      <c r="E539" s="85"/>
      <c r="F539" s="86"/>
      <c r="G539" s="86"/>
      <c r="H539" s="86"/>
      <c r="I539" s="86"/>
    </row>
    <row r="540" spans="2:10" x14ac:dyDescent="0.2">
      <c r="B540" s="82"/>
      <c r="C540" s="82"/>
      <c r="E540" s="84"/>
    </row>
    <row r="541" spans="2:10" x14ac:dyDescent="0.2">
      <c r="B541" s="82"/>
      <c r="C541" s="82"/>
      <c r="E541" s="84"/>
    </row>
    <row r="542" spans="2:10" x14ac:dyDescent="0.2">
      <c r="B542" s="87"/>
      <c r="C542" s="87"/>
      <c r="E542" s="85"/>
      <c r="F542" s="86"/>
      <c r="G542" s="86"/>
      <c r="H542" s="86"/>
      <c r="I542" s="86"/>
      <c r="J542" s="86"/>
    </row>
    <row r="543" spans="2:10" x14ac:dyDescent="0.2">
      <c r="B543" s="87"/>
      <c r="C543" s="87"/>
      <c r="E543" s="85"/>
      <c r="F543" s="86"/>
      <c r="G543" s="86"/>
      <c r="H543" s="86"/>
      <c r="I543" s="86"/>
    </row>
    <row r="544" spans="2:10" x14ac:dyDescent="0.2">
      <c r="B544" s="82"/>
      <c r="C544" s="82"/>
      <c r="E544" s="84"/>
    </row>
    <row r="545" spans="2:10" x14ac:dyDescent="0.2">
      <c r="E545" s="84"/>
    </row>
    <row r="546" spans="2:10" x14ac:dyDescent="0.2">
      <c r="B546" s="87"/>
      <c r="C546" s="87"/>
      <c r="E546" s="85"/>
      <c r="F546" s="86"/>
      <c r="G546" s="86"/>
      <c r="H546" s="86"/>
      <c r="I546" s="86"/>
    </row>
    <row r="547" spans="2:10" x14ac:dyDescent="0.2">
      <c r="B547" s="87"/>
      <c r="C547" s="87"/>
      <c r="E547" s="85"/>
      <c r="F547" s="86"/>
      <c r="G547" s="86"/>
      <c r="H547" s="86"/>
      <c r="I547" s="86"/>
    </row>
    <row r="548" spans="2:10" x14ac:dyDescent="0.2">
      <c r="B548" s="87"/>
      <c r="C548" s="87"/>
      <c r="E548" s="85"/>
      <c r="F548" s="86"/>
      <c r="G548" s="86"/>
      <c r="H548" s="86"/>
      <c r="I548" s="86"/>
      <c r="J548" s="86"/>
    </row>
    <row r="549" spans="2:10" x14ac:dyDescent="0.2">
      <c r="B549" s="87"/>
      <c r="C549" s="87"/>
      <c r="E549" s="85"/>
      <c r="F549" s="86"/>
      <c r="G549" s="86"/>
      <c r="H549" s="86"/>
      <c r="I549" s="86"/>
    </row>
    <row r="550" spans="2:10" x14ac:dyDescent="0.2">
      <c r="B550" s="87"/>
      <c r="C550" s="87"/>
      <c r="E550" s="85"/>
      <c r="F550" s="86"/>
      <c r="G550" s="86"/>
      <c r="H550" s="86"/>
      <c r="I550" s="86"/>
    </row>
    <row r="551" spans="2:10" x14ac:dyDescent="0.2">
      <c r="B551" s="87"/>
      <c r="C551" s="87"/>
      <c r="E551" s="85"/>
      <c r="F551" s="86"/>
      <c r="G551" s="86"/>
      <c r="H551" s="86"/>
      <c r="I551" s="86"/>
      <c r="J551" s="86"/>
    </row>
    <row r="552" spans="2:10" x14ac:dyDescent="0.2">
      <c r="B552" s="82"/>
      <c r="C552" s="82"/>
      <c r="E552" s="84"/>
    </row>
    <row r="553" spans="2:10" x14ac:dyDescent="0.2">
      <c r="B553" s="87"/>
      <c r="C553" s="87"/>
      <c r="E553" s="85"/>
      <c r="F553" s="86"/>
      <c r="G553" s="86"/>
      <c r="H553" s="86"/>
      <c r="I553" s="86"/>
    </row>
    <row r="554" spans="2:10" x14ac:dyDescent="0.2">
      <c r="B554" s="82"/>
      <c r="C554" s="82"/>
      <c r="E554" s="84"/>
    </row>
    <row r="555" spans="2:10" x14ac:dyDescent="0.2">
      <c r="B555" s="82"/>
      <c r="C555" s="82"/>
      <c r="E555" s="85"/>
      <c r="F555" s="86"/>
      <c r="G555" s="86"/>
      <c r="H555" s="86"/>
      <c r="I555" s="86"/>
      <c r="J555" s="86"/>
    </row>
    <row r="556" spans="2:10" x14ac:dyDescent="0.2">
      <c r="B556" s="82"/>
      <c r="C556" s="82"/>
      <c r="E556" s="85"/>
      <c r="F556" s="86"/>
      <c r="G556" s="86"/>
      <c r="H556" s="86"/>
      <c r="I556" s="86"/>
      <c r="J556" s="86"/>
    </row>
    <row r="557" spans="2:10" x14ac:dyDescent="0.2">
      <c r="B557" s="87"/>
      <c r="C557" s="87"/>
      <c r="E557" s="85"/>
      <c r="F557" s="86"/>
      <c r="G557" s="86"/>
      <c r="H557" s="86"/>
      <c r="I557" s="86"/>
    </row>
    <row r="558" spans="2:10" x14ac:dyDescent="0.2">
      <c r="B558" s="82"/>
      <c r="C558" s="82"/>
      <c r="E558" s="84"/>
    </row>
    <row r="559" spans="2:10" x14ac:dyDescent="0.2">
      <c r="B559" s="82"/>
      <c r="C559" s="82"/>
      <c r="E559" s="84"/>
    </row>
    <row r="560" spans="2:10" x14ac:dyDescent="0.2">
      <c r="B560" s="82"/>
      <c r="C560" s="82"/>
      <c r="E560" s="84"/>
    </row>
    <row r="561" spans="2:10" x14ac:dyDescent="0.2">
      <c r="B561" s="82"/>
      <c r="C561" s="82"/>
      <c r="E561" s="84"/>
    </row>
    <row r="562" spans="2:10" x14ac:dyDescent="0.2">
      <c r="B562" s="82"/>
      <c r="C562" s="82"/>
      <c r="E562" s="85"/>
      <c r="F562" s="86"/>
      <c r="G562" s="86"/>
      <c r="H562" s="86"/>
      <c r="I562" s="86"/>
      <c r="J562" s="86"/>
    </row>
    <row r="563" spans="2:10" x14ac:dyDescent="0.2">
      <c r="B563" s="87"/>
      <c r="C563" s="87"/>
      <c r="E563" s="85"/>
      <c r="F563" s="86"/>
      <c r="G563" s="86"/>
      <c r="H563" s="86"/>
      <c r="I563" s="86"/>
    </row>
    <row r="564" spans="2:10" x14ac:dyDescent="0.2">
      <c r="B564" s="82"/>
      <c r="C564" s="82"/>
      <c r="E564" s="84"/>
    </row>
    <row r="565" spans="2:10" x14ac:dyDescent="0.2">
      <c r="B565" s="82"/>
      <c r="C565" s="82"/>
      <c r="E565" s="85"/>
      <c r="F565" s="86"/>
      <c r="G565" s="86"/>
      <c r="H565" s="86"/>
      <c r="I565" s="86"/>
      <c r="J565" s="86"/>
    </row>
    <row r="566" spans="2:10" x14ac:dyDescent="0.2">
      <c r="B566" s="87"/>
      <c r="C566" s="87"/>
      <c r="E566" s="85"/>
      <c r="F566" s="86"/>
      <c r="G566" s="86"/>
      <c r="H566" s="86"/>
      <c r="I566" s="86"/>
    </row>
    <row r="567" spans="2:10" x14ac:dyDescent="0.2">
      <c r="B567" s="82"/>
      <c r="C567" s="82"/>
      <c r="E567" s="84"/>
    </row>
    <row r="568" spans="2:10" x14ac:dyDescent="0.2">
      <c r="B568" s="82"/>
      <c r="C568" s="82"/>
      <c r="E568" s="85"/>
      <c r="F568" s="86"/>
      <c r="G568" s="86"/>
      <c r="H568" s="86"/>
      <c r="I568" s="86"/>
      <c r="J568" s="86"/>
    </row>
    <row r="569" spans="2:10" x14ac:dyDescent="0.2">
      <c r="B569" s="82"/>
      <c r="C569" s="82"/>
      <c r="E569" s="84"/>
    </row>
    <row r="570" spans="2:10" x14ac:dyDescent="0.2">
      <c r="B570" s="87"/>
      <c r="C570" s="87"/>
      <c r="E570" s="85"/>
      <c r="F570" s="86"/>
      <c r="G570" s="86"/>
      <c r="H570" s="86"/>
      <c r="I570" s="86"/>
    </row>
    <row r="571" spans="2:10" x14ac:dyDescent="0.2">
      <c r="B571" s="87"/>
      <c r="C571" s="87"/>
      <c r="E571" s="85"/>
      <c r="F571" s="86"/>
      <c r="G571" s="86"/>
      <c r="H571" s="86"/>
      <c r="I571" s="86"/>
    </row>
    <row r="572" spans="2:10" x14ac:dyDescent="0.2">
      <c r="B572" s="82"/>
      <c r="C572" s="82"/>
      <c r="E572" s="85"/>
      <c r="F572" s="86"/>
      <c r="G572" s="86"/>
      <c r="H572" s="86"/>
      <c r="I572" s="86"/>
      <c r="J572" s="86"/>
    </row>
    <row r="573" spans="2:10" x14ac:dyDescent="0.2">
      <c r="B573" s="82"/>
      <c r="C573" s="82"/>
      <c r="E573" s="84"/>
    </row>
    <row r="574" spans="2:10" x14ac:dyDescent="0.2">
      <c r="B574" s="82"/>
      <c r="C574" s="82"/>
      <c r="E574" s="84"/>
    </row>
    <row r="575" spans="2:10" x14ac:dyDescent="0.2">
      <c r="B575" s="82"/>
      <c r="C575" s="82"/>
      <c r="E575" s="85"/>
      <c r="F575" s="86"/>
      <c r="G575" s="86"/>
      <c r="H575" s="86"/>
      <c r="I575" s="86"/>
      <c r="J575" s="86"/>
    </row>
    <row r="576" spans="2:10" x14ac:dyDescent="0.2">
      <c r="B576" s="82"/>
      <c r="C576" s="82"/>
      <c r="E576" s="84"/>
    </row>
    <row r="577" spans="2:10" x14ac:dyDescent="0.2">
      <c r="B577" s="87"/>
      <c r="C577" s="87"/>
      <c r="E577" s="85"/>
      <c r="F577" s="86"/>
      <c r="G577" s="86"/>
      <c r="H577" s="86"/>
      <c r="I577" s="86"/>
      <c r="J577" s="86"/>
    </row>
    <row r="578" spans="2:10" x14ac:dyDescent="0.2">
      <c r="B578" s="82"/>
      <c r="C578" s="82"/>
      <c r="E578" s="84"/>
    </row>
    <row r="579" spans="2:10" x14ac:dyDescent="0.2">
      <c r="B579" s="82"/>
      <c r="C579" s="82"/>
      <c r="E579" s="84"/>
    </row>
    <row r="580" spans="2:10" x14ac:dyDescent="0.2">
      <c r="B580" s="87"/>
      <c r="C580" s="87"/>
      <c r="E580" s="85"/>
      <c r="F580" s="86"/>
      <c r="G580" s="86"/>
      <c r="H580" s="86"/>
      <c r="I580" s="86"/>
    </row>
    <row r="581" spans="2:10" x14ac:dyDescent="0.2">
      <c r="B581" s="82"/>
      <c r="C581" s="82"/>
      <c r="E581" s="85"/>
      <c r="F581" s="86"/>
      <c r="G581" s="86"/>
      <c r="H581" s="86"/>
      <c r="I581" s="86"/>
      <c r="J581" s="86"/>
    </row>
    <row r="582" spans="2:10" x14ac:dyDescent="0.2">
      <c r="B582" s="82"/>
      <c r="C582" s="82"/>
      <c r="E582" s="85"/>
      <c r="F582" s="86"/>
      <c r="G582" s="86"/>
      <c r="H582" s="86"/>
      <c r="I582" s="86"/>
      <c r="J582" s="86"/>
    </row>
    <row r="583" spans="2:10" x14ac:dyDescent="0.2">
      <c r="B583" s="87"/>
      <c r="C583" s="87"/>
      <c r="E583" s="85"/>
      <c r="F583" s="86"/>
      <c r="G583" s="86"/>
      <c r="H583" s="86"/>
      <c r="I583" s="86"/>
    </row>
    <row r="584" spans="2:10" x14ac:dyDescent="0.2">
      <c r="B584" s="82"/>
      <c r="C584" s="82"/>
      <c r="E584" s="84"/>
    </row>
    <row r="585" spans="2:10" x14ac:dyDescent="0.2">
      <c r="B585" s="82"/>
      <c r="C585" s="82"/>
      <c r="E585" s="84"/>
    </row>
    <row r="586" spans="2:10" x14ac:dyDescent="0.2">
      <c r="B586" s="82"/>
      <c r="C586" s="82"/>
      <c r="E586" s="84"/>
    </row>
    <row r="587" spans="2:10" x14ac:dyDescent="0.2">
      <c r="B587" s="87"/>
      <c r="C587" s="87"/>
      <c r="E587" s="85"/>
      <c r="F587" s="86"/>
      <c r="G587" s="86"/>
      <c r="H587" s="86"/>
      <c r="I587" s="86"/>
      <c r="J587" s="86"/>
    </row>
    <row r="588" spans="2:10" x14ac:dyDescent="0.2">
      <c r="B588" s="82"/>
      <c r="C588" s="82"/>
      <c r="E588" s="84"/>
    </row>
    <row r="589" spans="2:10" x14ac:dyDescent="0.2">
      <c r="B589" s="82"/>
      <c r="C589" s="82"/>
      <c r="E589" s="85"/>
      <c r="F589" s="86"/>
      <c r="G589" s="86"/>
      <c r="H589" s="86"/>
      <c r="I589" s="86"/>
      <c r="J589" s="86"/>
    </row>
    <row r="590" spans="2:10" x14ac:dyDescent="0.2">
      <c r="B590" s="87"/>
      <c r="C590" s="87"/>
      <c r="E590" s="85"/>
      <c r="F590" s="86"/>
      <c r="G590" s="86"/>
      <c r="H590" s="86"/>
      <c r="I590" s="86"/>
    </row>
    <row r="591" spans="2:10" x14ac:dyDescent="0.2">
      <c r="B591" s="82"/>
      <c r="C591" s="82"/>
      <c r="E591" s="85"/>
      <c r="F591" s="86"/>
      <c r="G591" s="86"/>
      <c r="H591" s="86"/>
      <c r="I591" s="86"/>
      <c r="J591" s="86"/>
    </row>
    <row r="592" spans="2:10" x14ac:dyDescent="0.2">
      <c r="B592" s="87"/>
      <c r="C592" s="87"/>
      <c r="E592" s="85"/>
      <c r="F592" s="86"/>
      <c r="G592" s="86"/>
      <c r="H592" s="86"/>
      <c r="I592" s="86"/>
    </row>
    <row r="593" spans="2:10" x14ac:dyDescent="0.2">
      <c r="B593" s="82"/>
      <c r="C593" s="82"/>
      <c r="E593" s="84"/>
    </row>
    <row r="594" spans="2:10" x14ac:dyDescent="0.2">
      <c r="B594" s="82"/>
      <c r="C594" s="82"/>
      <c r="E594" s="84"/>
    </row>
    <row r="595" spans="2:10" x14ac:dyDescent="0.2">
      <c r="B595" s="82"/>
      <c r="C595" s="82"/>
      <c r="E595" s="84"/>
    </row>
    <row r="596" spans="2:10" x14ac:dyDescent="0.2">
      <c r="B596" s="87"/>
      <c r="C596" s="87"/>
      <c r="E596" s="85"/>
      <c r="F596" s="86"/>
      <c r="G596" s="86"/>
      <c r="H596" s="86"/>
      <c r="I596" s="86"/>
    </row>
    <row r="597" spans="2:10" x14ac:dyDescent="0.2">
      <c r="B597" s="87"/>
      <c r="C597" s="87"/>
      <c r="E597" s="85"/>
      <c r="F597" s="86"/>
      <c r="G597" s="86"/>
      <c r="H597" s="86"/>
      <c r="I597" s="86"/>
    </row>
    <row r="598" spans="2:10" x14ac:dyDescent="0.2">
      <c r="B598" s="82"/>
      <c r="C598" s="82"/>
      <c r="E598" s="85"/>
      <c r="F598" s="86"/>
      <c r="G598" s="86"/>
      <c r="H598" s="86"/>
      <c r="I598" s="86"/>
      <c r="J598" s="86"/>
    </row>
    <row r="599" spans="2:10" x14ac:dyDescent="0.2">
      <c r="B599" s="82"/>
      <c r="C599" s="82"/>
      <c r="E599" s="84"/>
    </row>
    <row r="600" spans="2:10" x14ac:dyDescent="0.2">
      <c r="B600" s="82"/>
      <c r="C600" s="82"/>
      <c r="E600" s="84"/>
    </row>
    <row r="601" spans="2:10" x14ac:dyDescent="0.2">
      <c r="B601" s="82"/>
      <c r="C601" s="82"/>
      <c r="E601" s="84"/>
    </row>
    <row r="602" spans="2:10" x14ac:dyDescent="0.2">
      <c r="B602" s="87"/>
      <c r="C602" s="87"/>
      <c r="E602" s="85"/>
      <c r="F602" s="86"/>
      <c r="G602" s="86"/>
      <c r="H602" s="86"/>
      <c r="I602" s="86"/>
    </row>
    <row r="603" spans="2:10" x14ac:dyDescent="0.2">
      <c r="B603" s="82"/>
      <c r="C603" s="82"/>
      <c r="E603" s="84"/>
    </row>
    <row r="604" spans="2:10" x14ac:dyDescent="0.2">
      <c r="B604" s="87"/>
      <c r="C604" s="87"/>
      <c r="E604" s="85"/>
      <c r="F604" s="86"/>
      <c r="G604" s="86"/>
      <c r="H604" s="86"/>
      <c r="I604" s="86"/>
      <c r="J604" s="86"/>
    </row>
    <row r="605" spans="2:10" x14ac:dyDescent="0.2">
      <c r="B605" s="82"/>
      <c r="C605" s="82"/>
      <c r="E605" s="84"/>
    </row>
    <row r="606" spans="2:10" x14ac:dyDescent="0.2">
      <c r="B606" s="87"/>
      <c r="C606" s="87"/>
      <c r="E606" s="85"/>
      <c r="F606" s="86"/>
      <c r="G606" s="86"/>
      <c r="H606" s="86"/>
      <c r="I606" s="86"/>
    </row>
    <row r="607" spans="2:10" x14ac:dyDescent="0.2">
      <c r="B607" s="82"/>
      <c r="C607" s="82"/>
      <c r="E607" s="85"/>
      <c r="F607" s="86"/>
      <c r="G607" s="86"/>
      <c r="H607" s="86"/>
      <c r="I607" s="86"/>
      <c r="J607" s="86"/>
    </row>
    <row r="608" spans="2:10" x14ac:dyDescent="0.2">
      <c r="B608" s="82"/>
      <c r="C608" s="82"/>
      <c r="E608" s="84"/>
    </row>
    <row r="609" spans="2:10" x14ac:dyDescent="0.2">
      <c r="B609" s="82"/>
      <c r="C609" s="82"/>
      <c r="E609" s="85"/>
      <c r="F609" s="86"/>
      <c r="G609" s="86"/>
      <c r="H609" s="86"/>
      <c r="I609" s="86"/>
      <c r="J609" s="86"/>
    </row>
    <row r="610" spans="2:10" x14ac:dyDescent="0.2">
      <c r="B610" s="82"/>
      <c r="C610" s="82"/>
      <c r="E610" s="84"/>
    </row>
    <row r="611" spans="2:10" x14ac:dyDescent="0.2">
      <c r="B611" s="82"/>
      <c r="C611" s="82"/>
      <c r="E611" s="84"/>
    </row>
    <row r="612" spans="2:10" x14ac:dyDescent="0.2">
      <c r="B612" s="82"/>
      <c r="C612" s="82"/>
      <c r="E612" s="84"/>
    </row>
    <row r="613" spans="2:10" x14ac:dyDescent="0.2">
      <c r="B613" s="87"/>
      <c r="C613" s="87"/>
      <c r="E613" s="85"/>
      <c r="F613" s="86"/>
      <c r="G613" s="86"/>
      <c r="H613" s="86"/>
      <c r="I613" s="86"/>
      <c r="J613" s="86"/>
    </row>
    <row r="614" spans="2:10" x14ac:dyDescent="0.2">
      <c r="B614" s="82"/>
      <c r="C614" s="82"/>
      <c r="E614" s="85"/>
      <c r="F614" s="86"/>
      <c r="G614" s="86"/>
      <c r="H614" s="86"/>
      <c r="I614" s="86"/>
      <c r="J614" s="86"/>
    </row>
    <row r="615" spans="2:10" x14ac:dyDescent="0.2">
      <c r="B615" s="82"/>
      <c r="C615" s="82"/>
      <c r="E615" s="84"/>
    </row>
    <row r="616" spans="2:10" x14ac:dyDescent="0.2">
      <c r="B616" s="82"/>
      <c r="C616" s="82"/>
      <c r="E616" s="85"/>
      <c r="F616" s="86"/>
      <c r="G616" s="86"/>
      <c r="H616" s="86"/>
      <c r="I616" s="86"/>
      <c r="J616" s="86"/>
    </row>
    <row r="617" spans="2:10" x14ac:dyDescent="0.2">
      <c r="B617" s="82"/>
      <c r="C617" s="82"/>
      <c r="E617" s="85"/>
      <c r="F617" s="86"/>
      <c r="G617" s="86"/>
      <c r="H617" s="86"/>
      <c r="I617" s="86"/>
      <c r="J617" s="86"/>
    </row>
    <row r="618" spans="2:10" x14ac:dyDescent="0.2">
      <c r="B618" s="82"/>
      <c r="C618" s="82"/>
      <c r="E618" s="84"/>
    </row>
    <row r="619" spans="2:10" x14ac:dyDescent="0.2">
      <c r="B619" s="87"/>
      <c r="C619" s="87"/>
      <c r="E619" s="85"/>
      <c r="F619" s="86"/>
      <c r="G619" s="86"/>
      <c r="H619" s="86"/>
      <c r="I619" s="86"/>
    </row>
    <row r="620" spans="2:10" x14ac:dyDescent="0.2">
      <c r="B620" s="82"/>
      <c r="C620" s="82"/>
      <c r="E620" s="84"/>
    </row>
    <row r="621" spans="2:10" x14ac:dyDescent="0.2">
      <c r="B621" s="82"/>
      <c r="C621" s="82"/>
      <c r="E621" s="84"/>
    </row>
    <row r="622" spans="2:10" x14ac:dyDescent="0.2">
      <c r="B622" s="87"/>
      <c r="C622" s="87"/>
      <c r="E622" s="85"/>
      <c r="F622" s="86"/>
      <c r="G622" s="86"/>
      <c r="H622" s="86"/>
      <c r="I622" s="86"/>
      <c r="J622" s="86"/>
    </row>
    <row r="623" spans="2:10" x14ac:dyDescent="0.2">
      <c r="B623" s="82"/>
      <c r="C623" s="82"/>
      <c r="E623" s="84"/>
    </row>
    <row r="624" spans="2:10" x14ac:dyDescent="0.2">
      <c r="B624" s="87"/>
      <c r="C624" s="87"/>
      <c r="E624" s="86"/>
      <c r="F624" s="86"/>
      <c r="G624" s="86"/>
      <c r="H624" s="86"/>
      <c r="I624" s="86"/>
    </row>
    <row r="625" spans="2:10" x14ac:dyDescent="0.2">
      <c r="B625" s="82"/>
      <c r="C625" s="82"/>
      <c r="E625" s="85"/>
      <c r="F625" s="86"/>
      <c r="G625" s="86"/>
      <c r="H625" s="86"/>
      <c r="I625" s="86"/>
      <c r="J625" s="86"/>
    </row>
    <row r="626" spans="2:10" x14ac:dyDescent="0.2">
      <c r="B626" s="82"/>
      <c r="C626" s="82"/>
      <c r="E626" s="85"/>
      <c r="F626" s="86"/>
      <c r="G626" s="86"/>
      <c r="H626" s="86"/>
      <c r="I626" s="86"/>
      <c r="J626" s="86"/>
    </row>
    <row r="627" spans="2:10" x14ac:dyDescent="0.2">
      <c r="B627" s="82"/>
      <c r="C627" s="82"/>
      <c r="E627" s="85"/>
      <c r="F627" s="86"/>
      <c r="G627" s="86"/>
      <c r="H627" s="86"/>
      <c r="I627" s="86"/>
      <c r="J627" s="86"/>
    </row>
    <row r="628" spans="2:10" x14ac:dyDescent="0.2">
      <c r="B628" s="87"/>
      <c r="C628" s="87"/>
      <c r="E628" s="85"/>
      <c r="F628" s="86"/>
      <c r="G628" s="86"/>
      <c r="H628" s="86"/>
      <c r="I628" s="86"/>
      <c r="J628" s="86"/>
    </row>
    <row r="629" spans="2:10" x14ac:dyDescent="0.2">
      <c r="B629" s="87"/>
      <c r="C629" s="87"/>
      <c r="E629" s="85"/>
      <c r="F629" s="86"/>
      <c r="G629" s="86"/>
      <c r="H629" s="86"/>
      <c r="I629" s="86"/>
      <c r="J629" s="86"/>
    </row>
    <row r="630" spans="2:10" x14ac:dyDescent="0.2">
      <c r="B630" s="82"/>
      <c r="C630" s="82"/>
      <c r="E630" s="84"/>
    </row>
    <row r="631" spans="2:10" x14ac:dyDescent="0.2">
      <c r="B631" s="87"/>
      <c r="C631" s="87"/>
      <c r="E631" s="85"/>
      <c r="F631" s="86"/>
      <c r="G631" s="86"/>
      <c r="H631" s="86"/>
      <c r="I631" s="86"/>
      <c r="J631" s="86"/>
    </row>
    <row r="632" spans="2:10" x14ac:dyDescent="0.2">
      <c r="B632" s="87"/>
      <c r="C632" s="87"/>
      <c r="E632" s="85"/>
      <c r="F632" s="86"/>
      <c r="G632" s="86"/>
      <c r="H632" s="86"/>
      <c r="I632" s="86"/>
    </row>
    <row r="633" spans="2:10" x14ac:dyDescent="0.2">
      <c r="B633" s="82"/>
      <c r="C633" s="82"/>
      <c r="E633" s="85"/>
      <c r="F633" s="86"/>
      <c r="G633" s="86"/>
      <c r="H633" s="86"/>
      <c r="I633" s="86"/>
      <c r="J633" s="86"/>
    </row>
    <row r="634" spans="2:10" x14ac:dyDescent="0.2">
      <c r="B634" s="82"/>
      <c r="C634" s="82"/>
      <c r="E634" s="84"/>
    </row>
    <row r="635" spans="2:10" x14ac:dyDescent="0.2">
      <c r="B635" s="82"/>
      <c r="C635" s="82"/>
    </row>
    <row r="636" spans="2:10" x14ac:dyDescent="0.2">
      <c r="B636" s="82"/>
      <c r="C636" s="82"/>
      <c r="E636" s="85"/>
      <c r="F636" s="86"/>
      <c r="G636" s="86"/>
      <c r="H636" s="86"/>
      <c r="I636" s="86"/>
      <c r="J636" s="86"/>
    </row>
    <row r="637" spans="2:10" x14ac:dyDescent="0.2">
      <c r="B637" s="87"/>
      <c r="C637" s="87"/>
      <c r="E637" s="85"/>
      <c r="F637" s="86"/>
      <c r="G637" s="86"/>
      <c r="H637" s="86"/>
      <c r="I637" s="86"/>
      <c r="J637" s="86"/>
    </row>
    <row r="638" spans="2:10" x14ac:dyDescent="0.2">
      <c r="B638" s="82"/>
      <c r="C638" s="82"/>
      <c r="E638" s="85"/>
      <c r="F638" s="86"/>
      <c r="G638" s="86"/>
      <c r="H638" s="86"/>
      <c r="I638" s="86"/>
      <c r="J638" s="86"/>
    </row>
    <row r="639" spans="2:10" x14ac:dyDescent="0.2">
      <c r="E639" s="85"/>
      <c r="F639" s="86"/>
      <c r="G639" s="86"/>
      <c r="H639" s="86"/>
      <c r="I639" s="86"/>
      <c r="J639" s="86"/>
    </row>
    <row r="640" spans="2:10" x14ac:dyDescent="0.2">
      <c r="B640" s="87"/>
      <c r="C640" s="87"/>
      <c r="E640" s="85"/>
      <c r="F640" s="86"/>
      <c r="G640" s="86"/>
      <c r="H640" s="86"/>
      <c r="I640" s="86"/>
      <c r="J640" s="86"/>
    </row>
    <row r="641" spans="2:10" x14ac:dyDescent="0.2">
      <c r="B641" s="87"/>
      <c r="C641" s="87"/>
      <c r="E641" s="85"/>
      <c r="F641" s="86"/>
      <c r="G641" s="86"/>
      <c r="H641" s="86"/>
      <c r="I641" s="86"/>
    </row>
    <row r="642" spans="2:10" x14ac:dyDescent="0.2">
      <c r="B642" s="87"/>
      <c r="C642" s="87"/>
      <c r="E642" s="85"/>
      <c r="F642" s="86"/>
      <c r="G642" s="86"/>
      <c r="H642" s="86"/>
      <c r="I642" s="86"/>
      <c r="J642" s="86"/>
    </row>
    <row r="643" spans="2:10" x14ac:dyDescent="0.2">
      <c r="B643" s="87"/>
      <c r="C643" s="87"/>
      <c r="E643" s="85"/>
      <c r="F643" s="86"/>
      <c r="G643" s="86"/>
      <c r="H643" s="86"/>
      <c r="I643" s="86"/>
    </row>
    <row r="644" spans="2:10" x14ac:dyDescent="0.2">
      <c r="B644" s="87"/>
      <c r="C644" s="87"/>
      <c r="E644" s="85"/>
      <c r="F644" s="86"/>
      <c r="G644" s="86"/>
      <c r="H644" s="86"/>
      <c r="I644" s="86"/>
      <c r="J644" s="86"/>
    </row>
    <row r="645" spans="2:10" x14ac:dyDescent="0.2">
      <c r="B645" s="82"/>
      <c r="C645" s="82"/>
      <c r="E645" s="84"/>
    </row>
    <row r="646" spans="2:10" x14ac:dyDescent="0.2">
      <c r="B646" s="87"/>
      <c r="C646" s="87"/>
      <c r="E646" s="86"/>
      <c r="F646" s="86"/>
      <c r="G646" s="86"/>
      <c r="H646" s="86"/>
      <c r="I646" s="86"/>
    </row>
    <row r="647" spans="2:10" x14ac:dyDescent="0.2">
      <c r="B647" s="82"/>
      <c r="C647" s="82"/>
      <c r="E647" s="85"/>
      <c r="F647" s="86"/>
      <c r="G647" s="86"/>
      <c r="H647" s="86"/>
      <c r="I647" s="86"/>
      <c r="J647" s="86"/>
    </row>
    <row r="648" spans="2:10" x14ac:dyDescent="0.2">
      <c r="B648" s="87"/>
      <c r="C648" s="87"/>
      <c r="E648" s="85"/>
      <c r="F648" s="86"/>
      <c r="G648" s="86"/>
      <c r="H648" s="86"/>
      <c r="I648" s="86"/>
      <c r="J648" s="86"/>
    </row>
    <row r="649" spans="2:10" x14ac:dyDescent="0.2">
      <c r="B649" s="82"/>
      <c r="C649" s="82"/>
      <c r="E649" s="85"/>
      <c r="F649" s="86"/>
      <c r="G649" s="86"/>
      <c r="H649" s="86"/>
      <c r="I649" s="86"/>
      <c r="J649" s="86"/>
    </row>
    <row r="650" spans="2:10" x14ac:dyDescent="0.2">
      <c r="E650" s="85"/>
      <c r="F650" s="86"/>
      <c r="G650" s="86"/>
      <c r="H650" s="86"/>
      <c r="I650" s="86"/>
      <c r="J650" s="86"/>
    </row>
    <row r="651" spans="2:10" x14ac:dyDescent="0.2">
      <c r="B651" s="87"/>
      <c r="C651" s="87"/>
      <c r="E651" s="85"/>
      <c r="F651" s="86"/>
      <c r="G651" s="86"/>
      <c r="H651" s="86"/>
      <c r="I651" s="86"/>
    </row>
    <row r="652" spans="2:10" x14ac:dyDescent="0.2">
      <c r="B652" s="87"/>
      <c r="C652" s="87"/>
      <c r="E652" s="86"/>
      <c r="F652" s="86"/>
      <c r="G652" s="86"/>
      <c r="H652" s="86"/>
      <c r="I652" s="86"/>
      <c r="J652" s="86"/>
    </row>
    <row r="653" spans="2:10" x14ac:dyDescent="0.2">
      <c r="B653" s="87"/>
      <c r="C653" s="87"/>
      <c r="E653" s="86"/>
      <c r="F653" s="86"/>
      <c r="G653" s="86"/>
      <c r="H653" s="86"/>
      <c r="I653" s="86"/>
    </row>
    <row r="654" spans="2:10" x14ac:dyDescent="0.2">
      <c r="B654" s="87"/>
      <c r="C654" s="87"/>
      <c r="E654" s="86"/>
      <c r="F654" s="86"/>
      <c r="G654" s="86"/>
      <c r="H654" s="86"/>
      <c r="I654" s="86"/>
    </row>
    <row r="655" spans="2:10" x14ac:dyDescent="0.2">
      <c r="B655" s="87"/>
      <c r="C655" s="87"/>
      <c r="E655" s="86"/>
      <c r="F655" s="86"/>
      <c r="G655" s="86"/>
      <c r="H655" s="86"/>
      <c r="I655" s="86"/>
    </row>
    <row r="656" spans="2:10" x14ac:dyDescent="0.2">
      <c r="B656" s="82"/>
      <c r="C656" s="82"/>
    </row>
    <row r="657" spans="2:9" x14ac:dyDescent="0.2">
      <c r="B657" s="87"/>
      <c r="C657" s="87"/>
      <c r="E657" s="86"/>
      <c r="F657" s="86"/>
      <c r="G657" s="86"/>
      <c r="H657" s="86"/>
      <c r="I657" s="86"/>
    </row>
    <row r="658" spans="2:9" x14ac:dyDescent="0.2">
      <c r="B658" s="82"/>
      <c r="C658" s="82"/>
    </row>
    <row r="659" spans="2:9" x14ac:dyDescent="0.2">
      <c r="B659" s="87"/>
      <c r="C659" s="87"/>
      <c r="E659" s="86"/>
      <c r="F659" s="86"/>
      <c r="G659" s="86"/>
      <c r="H659" s="86"/>
      <c r="I659" s="86"/>
    </row>
    <row r="660" spans="2:9" x14ac:dyDescent="0.2">
      <c r="B660" s="82"/>
      <c r="C660" s="82"/>
    </row>
    <row r="662" spans="2:9" x14ac:dyDescent="0.2">
      <c r="B662" s="87"/>
      <c r="C662" s="87"/>
      <c r="E662" s="86"/>
      <c r="F662" s="86"/>
      <c r="G662" s="86"/>
      <c r="H662" s="86"/>
      <c r="I662" s="86"/>
    </row>
    <row r="663" spans="2:9" x14ac:dyDescent="0.2">
      <c r="B663" s="87"/>
      <c r="C663" s="87"/>
      <c r="E663" s="86"/>
      <c r="F663" s="86"/>
      <c r="G663" s="86"/>
      <c r="H663" s="86"/>
      <c r="I663" s="86"/>
    </row>
    <row r="664" spans="2:9" x14ac:dyDescent="0.2">
      <c r="B664" s="87"/>
      <c r="C664" s="87"/>
      <c r="E664" s="86"/>
      <c r="F664" s="86"/>
      <c r="G664" s="86"/>
      <c r="H664" s="86"/>
      <c r="I664" s="86"/>
    </row>
    <row r="665" spans="2:9" x14ac:dyDescent="0.2">
      <c r="B665" s="87"/>
      <c r="C665" s="87"/>
      <c r="E665" s="86"/>
      <c r="F665" s="86"/>
      <c r="G665" s="86"/>
      <c r="H665" s="86"/>
      <c r="I665" s="86"/>
    </row>
    <row r="666" spans="2:9" x14ac:dyDescent="0.2">
      <c r="B666" s="82"/>
      <c r="C666" s="82"/>
    </row>
    <row r="667" spans="2:9" x14ac:dyDescent="0.2">
      <c r="B667" s="88"/>
      <c r="C667" s="88"/>
      <c r="E667" s="86"/>
      <c r="F667" s="86"/>
      <c r="G667" s="86"/>
      <c r="H667" s="86"/>
      <c r="I667" s="86"/>
    </row>
  </sheetData>
  <mergeCells count="11">
    <mergeCell ref="B9:D11"/>
    <mergeCell ref="E9:E11"/>
    <mergeCell ref="F9:Q10"/>
    <mergeCell ref="B12:D12"/>
    <mergeCell ref="B13:D13"/>
    <mergeCell ref="B2:Q2"/>
    <mergeCell ref="B3:Q3"/>
    <mergeCell ref="B4:Q4"/>
    <mergeCell ref="B5:Q5"/>
    <mergeCell ref="B6:Q6"/>
    <mergeCell ref="B7:Q7"/>
  </mergeCells>
  <printOptions horizontalCentered="1" verticalCentered="1"/>
  <pageMargins left="0.39370078740157483" right="0.39370078740157483" top="0.39370078740157483" bottom="0.39370078740157483" header="0" footer="0"/>
  <pageSetup fitToHeight="9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INICIATIVA P-LEY2022</vt:lpstr>
      <vt:lpstr>'INICIATIVA P-LEY2022'!Área_de_impresión</vt:lpstr>
      <vt:lpstr>'INICIATIVA P-LEY2022'!Títulos_a_imprimir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2022-02-15T21:07:21Z</dcterms:created>
  <dcterms:modified xsi:type="dcterms:W3CDTF">2022-02-15T21:07:46Z</dcterms:modified>
</cp:coreProperties>
</file>