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caya\Documents\PARA SEVAC 2026\INFORMACION ANUAL LGCG Y LDF 2026\2026\INFORMACION ANUAL 2026\"/>
    </mc:Choice>
  </mc:AlternateContent>
  <xr:revisionPtr revIDLastSave="0" documentId="8_{0F67DE63-DFAC-4600-888E-833B51B15A5C}" xr6:coauthVersionLast="47" xr6:coauthVersionMax="47" xr10:uidLastSave="{00000000-0000-0000-0000-000000000000}"/>
  <bookViews>
    <workbookView xWindow="-108" yWindow="-108" windowWidth="23256" windowHeight="12456" xr2:uid="{8B3F7FA6-37A8-4A99-ACE1-1B5700907763}"/>
  </bookViews>
  <sheets>
    <sheet name="BASE MENSUAL 2026 PRESUP." sheetId="1" r:id="rId1"/>
  </sheets>
  <externalReferences>
    <externalReference r:id="rId2"/>
  </externalReferences>
  <definedNames>
    <definedName name="_xlnm._FilterDatabase" localSheetId="0" hidden="1">'BASE MENSUAL 2026 PRESUP.'!$A$1:$AM$946</definedName>
    <definedName name="_xlnm.Print_Area" localSheetId="0">'BASE MENSUAL 2026 PRESUP.'!$B$2:$S$618</definedName>
    <definedName name="_xlnm.Print_Titles" localSheetId="0">'BASE MENSUAL 2026 PRESUP.'!$B:$C,'BASE MENSUAL 2026 PRESUP.'!$1:$11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18" i="1" l="1"/>
  <c r="R617" i="1"/>
  <c r="R616" i="1" s="1"/>
  <c r="R615" i="1" s="1"/>
  <c r="Q617" i="1"/>
  <c r="Q616" i="1" s="1"/>
  <c r="Q615" i="1" s="1"/>
  <c r="P617" i="1"/>
  <c r="O617" i="1"/>
  <c r="O616" i="1" s="1"/>
  <c r="O615" i="1" s="1"/>
  <c r="N617" i="1"/>
  <c r="N616" i="1" s="1"/>
  <c r="N615" i="1" s="1"/>
  <c r="M617" i="1"/>
  <c r="M616" i="1" s="1"/>
  <c r="M615" i="1" s="1"/>
  <c r="L617" i="1"/>
  <c r="K617" i="1"/>
  <c r="J617" i="1"/>
  <c r="J616" i="1" s="1"/>
  <c r="J615" i="1" s="1"/>
  <c r="I617" i="1"/>
  <c r="I616" i="1" s="1"/>
  <c r="I615" i="1" s="1"/>
  <c r="H617" i="1"/>
  <c r="P616" i="1"/>
  <c r="P615" i="1" s="1"/>
  <c r="L616" i="1"/>
  <c r="K616" i="1"/>
  <c r="H616" i="1"/>
  <c r="L615" i="1"/>
  <c r="K615" i="1"/>
  <c r="U614" i="1"/>
  <c r="T614" i="1"/>
  <c r="G614" i="1"/>
  <c r="S613" i="1"/>
  <c r="R613" i="1"/>
  <c r="Q613" i="1"/>
  <c r="P613" i="1"/>
  <c r="P612" i="1" s="1"/>
  <c r="O613" i="1"/>
  <c r="N613" i="1"/>
  <c r="M613" i="1"/>
  <c r="L613" i="1"/>
  <c r="K613" i="1"/>
  <c r="J613" i="1"/>
  <c r="I613" i="1"/>
  <c r="H613" i="1"/>
  <c r="S612" i="1"/>
  <c r="R612" i="1"/>
  <c r="Q612" i="1"/>
  <c r="O612" i="1"/>
  <c r="N612" i="1"/>
  <c r="M612" i="1"/>
  <c r="L612" i="1"/>
  <c r="K612" i="1"/>
  <c r="J612" i="1"/>
  <c r="J608" i="1" s="1"/>
  <c r="I612" i="1"/>
  <c r="T611" i="1"/>
  <c r="U611" i="1" s="1"/>
  <c r="G611" i="1"/>
  <c r="F611" i="1"/>
  <c r="E611" i="1" s="1"/>
  <c r="S610" i="1"/>
  <c r="R610" i="1"/>
  <c r="Q610" i="1"/>
  <c r="Q609" i="1" s="1"/>
  <c r="P610" i="1"/>
  <c r="P609" i="1" s="1"/>
  <c r="O610" i="1"/>
  <c r="N610" i="1"/>
  <c r="M610" i="1"/>
  <c r="M609" i="1" s="1"/>
  <c r="M608" i="1" s="1"/>
  <c r="L610" i="1"/>
  <c r="L609" i="1" s="1"/>
  <c r="L608" i="1" s="1"/>
  <c r="K610" i="1"/>
  <c r="J610" i="1"/>
  <c r="I610" i="1"/>
  <c r="H610" i="1"/>
  <c r="H609" i="1" s="1"/>
  <c r="G610" i="1"/>
  <c r="G609" i="1" s="1"/>
  <c r="S609" i="1"/>
  <c r="S608" i="1" s="1"/>
  <c r="R609" i="1"/>
  <c r="R608" i="1" s="1"/>
  <c r="O609" i="1"/>
  <c r="N609" i="1"/>
  <c r="N608" i="1" s="1"/>
  <c r="K609" i="1"/>
  <c r="K608" i="1" s="1"/>
  <c r="J609" i="1"/>
  <c r="I609" i="1"/>
  <c r="I608" i="1" s="1"/>
  <c r="Q608" i="1"/>
  <c r="P608" i="1"/>
  <c r="O608" i="1"/>
  <c r="AI607" i="1"/>
  <c r="AH607" i="1"/>
  <c r="AG607" i="1"/>
  <c r="T607" i="1"/>
  <c r="U607" i="1" s="1"/>
  <c r="G607" i="1"/>
  <c r="F607" i="1"/>
  <c r="E607" i="1" s="1"/>
  <c r="AM606" i="1"/>
  <c r="AK606" i="1"/>
  <c r="S606" i="1"/>
  <c r="R606" i="1"/>
  <c r="R602" i="1" s="1"/>
  <c r="Q606" i="1"/>
  <c r="P606" i="1"/>
  <c r="P602" i="1" s="1"/>
  <c r="O606" i="1"/>
  <c r="N606" i="1"/>
  <c r="M606" i="1"/>
  <c r="L606" i="1"/>
  <c r="K606" i="1"/>
  <c r="J606" i="1"/>
  <c r="J602" i="1" s="1"/>
  <c r="I606" i="1"/>
  <c r="H606" i="1"/>
  <c r="G606" i="1"/>
  <c r="AH606" i="1" s="1"/>
  <c r="T605" i="1"/>
  <c r="M605" i="1"/>
  <c r="G605" i="1"/>
  <c r="AI604" i="1"/>
  <c r="AG604" i="1"/>
  <c r="AH604" i="1" s="1"/>
  <c r="U604" i="1"/>
  <c r="T604" i="1"/>
  <c r="G604" i="1"/>
  <c r="F604" i="1" s="1"/>
  <c r="E604" i="1" s="1"/>
  <c r="S603" i="1"/>
  <c r="R603" i="1"/>
  <c r="Q603" i="1"/>
  <c r="P603" i="1"/>
  <c r="O603" i="1"/>
  <c r="N603" i="1"/>
  <c r="N602" i="1" s="1"/>
  <c r="M603" i="1"/>
  <c r="L603" i="1"/>
  <c r="L602" i="1" s="1"/>
  <c r="L579" i="1" s="1"/>
  <c r="K603" i="1"/>
  <c r="K602" i="1" s="1"/>
  <c r="J603" i="1"/>
  <c r="I603" i="1"/>
  <c r="H603" i="1"/>
  <c r="G603" i="1"/>
  <c r="S602" i="1"/>
  <c r="Q602" i="1"/>
  <c r="M602" i="1"/>
  <c r="I602" i="1"/>
  <c r="T601" i="1"/>
  <c r="G601" i="1"/>
  <c r="F601" i="1" s="1"/>
  <c r="E601" i="1" s="1"/>
  <c r="U600" i="1"/>
  <c r="T600" i="1"/>
  <c r="G600" i="1"/>
  <c r="F600" i="1" s="1"/>
  <c r="E600" i="1" s="1"/>
  <c r="AI599" i="1"/>
  <c r="AH599" i="1"/>
  <c r="AG599" i="1"/>
  <c r="AA599" i="1"/>
  <c r="U599" i="1"/>
  <c r="T599" i="1"/>
  <c r="G599" i="1"/>
  <c r="F599" i="1" s="1"/>
  <c r="E599" i="1" s="1"/>
  <c r="AI598" i="1"/>
  <c r="T598" i="1"/>
  <c r="U598" i="1" s="1"/>
  <c r="G598" i="1"/>
  <c r="AH597" i="1"/>
  <c r="U597" i="1"/>
  <c r="T597" i="1"/>
  <c r="G597" i="1"/>
  <c r="AI596" i="1"/>
  <c r="T596" i="1"/>
  <c r="U596" i="1" s="1"/>
  <c r="G596" i="1"/>
  <c r="AA596" i="1" s="1"/>
  <c r="F596" i="1"/>
  <c r="E596" i="1"/>
  <c r="AI595" i="1"/>
  <c r="AG595" i="1"/>
  <c r="AA595" i="1"/>
  <c r="T595" i="1"/>
  <c r="G595" i="1"/>
  <c r="F595" i="1"/>
  <c r="E595" i="1" s="1"/>
  <c r="AG594" i="1"/>
  <c r="AA594" i="1"/>
  <c r="U594" i="1"/>
  <c r="T594" i="1"/>
  <c r="G594" i="1"/>
  <c r="AI594" i="1" s="1"/>
  <c r="AH593" i="1"/>
  <c r="AG593" i="1"/>
  <c r="U593" i="1"/>
  <c r="T593" i="1"/>
  <c r="G593" i="1"/>
  <c r="AI593" i="1" s="1"/>
  <c r="F593" i="1"/>
  <c r="E593" i="1" s="1"/>
  <c r="T592" i="1"/>
  <c r="U592" i="1" s="1"/>
  <c r="G592" i="1"/>
  <c r="F592" i="1" s="1"/>
  <c r="E592" i="1"/>
  <c r="AI591" i="1"/>
  <c r="AG591" i="1"/>
  <c r="AH591" i="1" s="1"/>
  <c r="T591" i="1"/>
  <c r="G591" i="1"/>
  <c r="F591" i="1" s="1"/>
  <c r="E591" i="1" s="1"/>
  <c r="AH590" i="1"/>
  <c r="AG590" i="1"/>
  <c r="T590" i="1"/>
  <c r="G590" i="1"/>
  <c r="T589" i="1"/>
  <c r="G589" i="1"/>
  <c r="AG588" i="1"/>
  <c r="AH588" i="1" s="1"/>
  <c r="T588" i="1"/>
  <c r="U588" i="1" s="1"/>
  <c r="G588" i="1"/>
  <c r="AI588" i="1" s="1"/>
  <c r="AG587" i="1"/>
  <c r="T587" i="1"/>
  <c r="G587" i="1"/>
  <c r="AG586" i="1"/>
  <c r="AH586" i="1" s="1"/>
  <c r="T586" i="1"/>
  <c r="U586" i="1" s="1"/>
  <c r="G586" i="1"/>
  <c r="T585" i="1"/>
  <c r="G585" i="1"/>
  <c r="G582" i="1" s="1"/>
  <c r="AI584" i="1"/>
  <c r="AH584" i="1"/>
  <c r="AG584" i="1"/>
  <c r="T584" i="1"/>
  <c r="U584" i="1" s="1"/>
  <c r="G584" i="1"/>
  <c r="F584" i="1"/>
  <c r="E584" i="1"/>
  <c r="AI583" i="1"/>
  <c r="AG583" i="1"/>
  <c r="AH583" i="1" s="1"/>
  <c r="U583" i="1"/>
  <c r="T583" i="1"/>
  <c r="G583" i="1"/>
  <c r="AA583" i="1" s="1"/>
  <c r="F583" i="1"/>
  <c r="E583" i="1"/>
  <c r="S582" i="1"/>
  <c r="S581" i="1" s="1"/>
  <c r="S580" i="1" s="1"/>
  <c r="R582" i="1"/>
  <c r="Q582" i="1"/>
  <c r="P582" i="1"/>
  <c r="O582" i="1"/>
  <c r="O581" i="1" s="1"/>
  <c r="O580" i="1" s="1"/>
  <c r="N582" i="1"/>
  <c r="M582" i="1"/>
  <c r="L582" i="1"/>
  <c r="K582" i="1"/>
  <c r="J582" i="1"/>
  <c r="J581" i="1" s="1"/>
  <c r="I582" i="1"/>
  <c r="H582" i="1"/>
  <c r="R581" i="1"/>
  <c r="R580" i="1" s="1"/>
  <c r="R579" i="1" s="1"/>
  <c r="Q581" i="1"/>
  <c r="Q580" i="1" s="1"/>
  <c r="P581" i="1"/>
  <c r="N581" i="1"/>
  <c r="N580" i="1" s="1"/>
  <c r="M581" i="1"/>
  <c r="M580" i="1" s="1"/>
  <c r="M579" i="1" s="1"/>
  <c r="L581" i="1"/>
  <c r="K581" i="1"/>
  <c r="K580" i="1" s="1"/>
  <c r="K579" i="1" s="1"/>
  <c r="I581" i="1"/>
  <c r="I580" i="1" s="1"/>
  <c r="I579" i="1" s="1"/>
  <c r="H581" i="1"/>
  <c r="P580" i="1"/>
  <c r="L580" i="1"/>
  <c r="J580" i="1"/>
  <c r="J579" i="1" s="1"/>
  <c r="H580" i="1"/>
  <c r="Q579" i="1"/>
  <c r="AI578" i="1"/>
  <c r="T578" i="1"/>
  <c r="U578" i="1" s="1"/>
  <c r="G578" i="1"/>
  <c r="F578" i="1"/>
  <c r="E578" i="1"/>
  <c r="Z577" i="1"/>
  <c r="S577" i="1"/>
  <c r="S576" i="1" s="1"/>
  <c r="S575" i="1" s="1"/>
  <c r="R577" i="1"/>
  <c r="R576" i="1" s="1"/>
  <c r="Q577" i="1"/>
  <c r="Q576" i="1" s="1"/>
  <c r="Q575" i="1" s="1"/>
  <c r="P577" i="1"/>
  <c r="O577" i="1"/>
  <c r="N577" i="1"/>
  <c r="N576" i="1" s="1"/>
  <c r="M577" i="1"/>
  <c r="L577" i="1"/>
  <c r="L576" i="1" s="1"/>
  <c r="L575" i="1" s="1"/>
  <c r="K577" i="1"/>
  <c r="K576" i="1" s="1"/>
  <c r="K575" i="1" s="1"/>
  <c r="J577" i="1"/>
  <c r="J576" i="1" s="1"/>
  <c r="I577" i="1"/>
  <c r="H577" i="1"/>
  <c r="H576" i="1" s="1"/>
  <c r="Z576" i="1"/>
  <c r="P576" i="1"/>
  <c r="P575" i="1" s="1"/>
  <c r="O576" i="1"/>
  <c r="O575" i="1" s="1"/>
  <c r="M576" i="1"/>
  <c r="M575" i="1" s="1"/>
  <c r="Z575" i="1"/>
  <c r="R575" i="1"/>
  <c r="N575" i="1"/>
  <c r="J575" i="1"/>
  <c r="H575" i="1"/>
  <c r="T574" i="1"/>
  <c r="G574" i="1"/>
  <c r="F574" i="1" s="1"/>
  <c r="E574" i="1" s="1"/>
  <c r="U573" i="1"/>
  <c r="T573" i="1"/>
  <c r="G573" i="1"/>
  <c r="F573" i="1" s="1"/>
  <c r="E573" i="1" s="1"/>
  <c r="T572" i="1"/>
  <c r="U572" i="1" s="1"/>
  <c r="G572" i="1"/>
  <c r="F572" i="1"/>
  <c r="E572" i="1"/>
  <c r="U571" i="1"/>
  <c r="T571" i="1"/>
  <c r="G571" i="1"/>
  <c r="F571" i="1"/>
  <c r="E571" i="1"/>
  <c r="T570" i="1"/>
  <c r="U570" i="1" s="1"/>
  <c r="G570" i="1"/>
  <c r="F570" i="1"/>
  <c r="E570" i="1" s="1"/>
  <c r="T569" i="1"/>
  <c r="G569" i="1"/>
  <c r="U569" i="1" s="1"/>
  <c r="F569" i="1"/>
  <c r="E569" i="1" s="1"/>
  <c r="S568" i="1"/>
  <c r="R568" i="1"/>
  <c r="Q568" i="1"/>
  <c r="P568" i="1"/>
  <c r="O568" i="1"/>
  <c r="N568" i="1"/>
  <c r="M568" i="1"/>
  <c r="L568" i="1"/>
  <c r="T568" i="1" s="1"/>
  <c r="K568" i="1"/>
  <c r="J568" i="1"/>
  <c r="I568" i="1"/>
  <c r="H568" i="1"/>
  <c r="AG567" i="1"/>
  <c r="T567" i="1"/>
  <c r="G567" i="1"/>
  <c r="S566" i="1"/>
  <c r="R566" i="1"/>
  <c r="Q566" i="1"/>
  <c r="P566" i="1"/>
  <c r="O566" i="1"/>
  <c r="N566" i="1"/>
  <c r="M566" i="1"/>
  <c r="L566" i="1"/>
  <c r="K566" i="1"/>
  <c r="J566" i="1"/>
  <c r="I566" i="1"/>
  <c r="H566" i="1"/>
  <c r="AI565" i="1"/>
  <c r="AH565" i="1"/>
  <c r="AG565" i="1"/>
  <c r="U565" i="1"/>
  <c r="T565" i="1"/>
  <c r="G565" i="1"/>
  <c r="F565" i="1"/>
  <c r="E565" i="1"/>
  <c r="S564" i="1"/>
  <c r="S522" i="1" s="1"/>
  <c r="S521" i="1" s="1"/>
  <c r="R564" i="1"/>
  <c r="Q564" i="1"/>
  <c r="P564" i="1"/>
  <c r="O564" i="1"/>
  <c r="N564" i="1"/>
  <c r="M564" i="1"/>
  <c r="L564" i="1"/>
  <c r="K564" i="1"/>
  <c r="K522" i="1" s="1"/>
  <c r="K521" i="1" s="1"/>
  <c r="J564" i="1"/>
  <c r="I564" i="1"/>
  <c r="H564" i="1"/>
  <c r="G564" i="1"/>
  <c r="AH564" i="1" s="1"/>
  <c r="AI563" i="1"/>
  <c r="AH563" i="1"/>
  <c r="AG563" i="1"/>
  <c r="AA563" i="1"/>
  <c r="U563" i="1"/>
  <c r="T563" i="1"/>
  <c r="G563" i="1"/>
  <c r="F563" i="1"/>
  <c r="E563" i="1" s="1"/>
  <c r="AI562" i="1"/>
  <c r="AG562" i="1"/>
  <c r="AH562" i="1" s="1"/>
  <c r="AA562" i="1"/>
  <c r="U562" i="1"/>
  <c r="T562" i="1"/>
  <c r="G562" i="1"/>
  <c r="F562" i="1"/>
  <c r="E562" i="1" s="1"/>
  <c r="Z561" i="1"/>
  <c r="AA561" i="1" s="1"/>
  <c r="S561" i="1"/>
  <c r="R561" i="1"/>
  <c r="Q561" i="1"/>
  <c r="P561" i="1"/>
  <c r="O561" i="1"/>
  <c r="N561" i="1"/>
  <c r="M561" i="1"/>
  <c r="L561" i="1"/>
  <c r="T561" i="1" s="1"/>
  <c r="U561" i="1" s="1"/>
  <c r="K561" i="1"/>
  <c r="J561" i="1"/>
  <c r="I561" i="1"/>
  <c r="H561" i="1"/>
  <c r="G561" i="1"/>
  <c r="AH561" i="1" s="1"/>
  <c r="E561" i="1"/>
  <c r="T560" i="1"/>
  <c r="U560" i="1" s="1"/>
  <c r="G560" i="1"/>
  <c r="F560" i="1" s="1"/>
  <c r="E560" i="1"/>
  <c r="T559" i="1"/>
  <c r="U559" i="1" s="1"/>
  <c r="G559" i="1"/>
  <c r="F559" i="1"/>
  <c r="E559" i="1"/>
  <c r="S558" i="1"/>
  <c r="R558" i="1"/>
  <c r="Q558" i="1"/>
  <c r="P558" i="1"/>
  <c r="O558" i="1"/>
  <c r="N558" i="1"/>
  <c r="M558" i="1"/>
  <c r="L558" i="1"/>
  <c r="K558" i="1"/>
  <c r="J558" i="1"/>
  <c r="I558" i="1"/>
  <c r="T558" i="1" s="1"/>
  <c r="U558" i="1" s="1"/>
  <c r="H558" i="1"/>
  <c r="G558" i="1"/>
  <c r="T557" i="1"/>
  <c r="U557" i="1" s="1"/>
  <c r="G557" i="1"/>
  <c r="F557" i="1" s="1"/>
  <c r="E557" i="1" s="1"/>
  <c r="U556" i="1"/>
  <c r="T556" i="1"/>
  <c r="G556" i="1"/>
  <c r="F556" i="1"/>
  <c r="E556" i="1"/>
  <c r="U555" i="1"/>
  <c r="T555" i="1"/>
  <c r="G555" i="1"/>
  <c r="F555" i="1"/>
  <c r="E555" i="1" s="1"/>
  <c r="T554" i="1"/>
  <c r="U554" i="1" s="1"/>
  <c r="G554" i="1"/>
  <c r="F554" i="1" s="1"/>
  <c r="E554" i="1" s="1"/>
  <c r="T553" i="1"/>
  <c r="G553" i="1"/>
  <c r="F553" i="1"/>
  <c r="E553" i="1" s="1"/>
  <c r="T552" i="1"/>
  <c r="G552" i="1"/>
  <c r="T551" i="1"/>
  <c r="U551" i="1" s="1"/>
  <c r="G551" i="1"/>
  <c r="F551" i="1" s="1"/>
  <c r="E551" i="1"/>
  <c r="U550" i="1"/>
  <c r="T550" i="1"/>
  <c r="G550" i="1"/>
  <c r="F550" i="1" s="1"/>
  <c r="E550" i="1" s="1"/>
  <c r="T549" i="1"/>
  <c r="G549" i="1"/>
  <c r="U548" i="1"/>
  <c r="T548" i="1"/>
  <c r="G548" i="1"/>
  <c r="F548" i="1"/>
  <c r="E548" i="1"/>
  <c r="T547" i="1"/>
  <c r="U547" i="1" s="1"/>
  <c r="G547" i="1"/>
  <c r="F547" i="1"/>
  <c r="E547" i="1" s="1"/>
  <c r="T546" i="1"/>
  <c r="U546" i="1" s="1"/>
  <c r="G546" i="1"/>
  <c r="F546" i="1" s="1"/>
  <c r="E546" i="1"/>
  <c r="T545" i="1"/>
  <c r="G545" i="1"/>
  <c r="F545" i="1" s="1"/>
  <c r="E545" i="1" s="1"/>
  <c r="T544" i="1"/>
  <c r="U544" i="1" s="1"/>
  <c r="G544" i="1"/>
  <c r="F544" i="1" s="1"/>
  <c r="E544" i="1"/>
  <c r="T543" i="1"/>
  <c r="U543" i="1" s="1"/>
  <c r="G543" i="1"/>
  <c r="F543" i="1" s="1"/>
  <c r="E543" i="1"/>
  <c r="U542" i="1"/>
  <c r="T542" i="1"/>
  <c r="G542" i="1"/>
  <c r="F542" i="1"/>
  <c r="E542" i="1" s="1"/>
  <c r="T541" i="1"/>
  <c r="G541" i="1"/>
  <c r="U541" i="1" s="1"/>
  <c r="F541" i="1"/>
  <c r="E541" i="1" s="1"/>
  <c r="T540" i="1"/>
  <c r="G540" i="1"/>
  <c r="F540" i="1" s="1"/>
  <c r="E540" i="1" s="1"/>
  <c r="T539" i="1"/>
  <c r="U539" i="1" s="1"/>
  <c r="G539" i="1"/>
  <c r="F539" i="1"/>
  <c r="E539" i="1"/>
  <c r="U538" i="1"/>
  <c r="T538" i="1"/>
  <c r="G538" i="1"/>
  <c r="F538" i="1" s="1"/>
  <c r="E538" i="1" s="1"/>
  <c r="T537" i="1"/>
  <c r="U537" i="1" s="1"/>
  <c r="G537" i="1"/>
  <c r="F537" i="1"/>
  <c r="E537" i="1" s="1"/>
  <c r="U536" i="1"/>
  <c r="T536" i="1"/>
  <c r="G536" i="1"/>
  <c r="F536" i="1" s="1"/>
  <c r="E536" i="1"/>
  <c r="U535" i="1"/>
  <c r="T535" i="1"/>
  <c r="G535" i="1"/>
  <c r="F535" i="1" s="1"/>
  <c r="E535" i="1"/>
  <c r="T534" i="1"/>
  <c r="G534" i="1"/>
  <c r="U533" i="1"/>
  <c r="T533" i="1"/>
  <c r="G533" i="1"/>
  <c r="F533" i="1" s="1"/>
  <c r="E533" i="1" s="1"/>
  <c r="T532" i="1"/>
  <c r="G532" i="1"/>
  <c r="F532" i="1" s="1"/>
  <c r="E532" i="1"/>
  <c r="U531" i="1"/>
  <c r="T531" i="1"/>
  <c r="G531" i="1"/>
  <c r="T530" i="1"/>
  <c r="G530" i="1"/>
  <c r="T529" i="1"/>
  <c r="U529" i="1" s="1"/>
  <c r="G529" i="1"/>
  <c r="F529" i="1"/>
  <c r="E529" i="1"/>
  <c r="S528" i="1"/>
  <c r="S527" i="1" s="1"/>
  <c r="R528" i="1"/>
  <c r="Q528" i="1"/>
  <c r="P528" i="1"/>
  <c r="O528" i="1"/>
  <c r="O527" i="1" s="1"/>
  <c r="N528" i="1"/>
  <c r="N527" i="1" s="1"/>
  <c r="M528" i="1"/>
  <c r="M527" i="1" s="1"/>
  <c r="T527" i="1" s="1"/>
  <c r="L528" i="1"/>
  <c r="K528" i="1"/>
  <c r="K527" i="1" s="1"/>
  <c r="J528" i="1"/>
  <c r="J527" i="1" s="1"/>
  <c r="I528" i="1"/>
  <c r="H528" i="1"/>
  <c r="R527" i="1"/>
  <c r="Q527" i="1"/>
  <c r="P527" i="1"/>
  <c r="L527" i="1"/>
  <c r="I527" i="1"/>
  <c r="H527" i="1"/>
  <c r="AI526" i="1"/>
  <c r="AH526" i="1"/>
  <c r="AG526" i="1"/>
  <c r="U526" i="1"/>
  <c r="T526" i="1"/>
  <c r="G526" i="1"/>
  <c r="G525" i="1" s="1"/>
  <c r="F526" i="1"/>
  <c r="E526" i="1" s="1"/>
  <c r="AH525" i="1"/>
  <c r="S525" i="1"/>
  <c r="R525" i="1"/>
  <c r="Q525" i="1"/>
  <c r="P525" i="1"/>
  <c r="O525" i="1"/>
  <c r="N525" i="1"/>
  <c r="M525" i="1"/>
  <c r="L525" i="1"/>
  <c r="K525" i="1"/>
  <c r="J525" i="1"/>
  <c r="J522" i="1" s="1"/>
  <c r="J521" i="1" s="1"/>
  <c r="I525" i="1"/>
  <c r="H525" i="1"/>
  <c r="AI524" i="1"/>
  <c r="U524" i="1"/>
  <c r="T524" i="1"/>
  <c r="G524" i="1"/>
  <c r="F524" i="1" s="1"/>
  <c r="E524" i="1"/>
  <c r="S523" i="1"/>
  <c r="R523" i="1"/>
  <c r="Q523" i="1"/>
  <c r="P523" i="1"/>
  <c r="P522" i="1" s="1"/>
  <c r="P521" i="1" s="1"/>
  <c r="O523" i="1"/>
  <c r="N523" i="1"/>
  <c r="M523" i="1"/>
  <c r="L523" i="1"/>
  <c r="K523" i="1"/>
  <c r="J523" i="1"/>
  <c r="I523" i="1"/>
  <c r="H523" i="1"/>
  <c r="G523" i="1"/>
  <c r="Q522" i="1"/>
  <c r="Q521" i="1" s="1"/>
  <c r="H522" i="1"/>
  <c r="H521" i="1"/>
  <c r="U520" i="1"/>
  <c r="T520" i="1"/>
  <c r="G520" i="1"/>
  <c r="F520" i="1" s="1"/>
  <c r="E520" i="1"/>
  <c r="S519" i="1"/>
  <c r="R519" i="1"/>
  <c r="Q519" i="1"/>
  <c r="P519" i="1"/>
  <c r="O519" i="1"/>
  <c r="N519" i="1"/>
  <c r="M519" i="1"/>
  <c r="L519" i="1"/>
  <c r="K519" i="1"/>
  <c r="J519" i="1"/>
  <c r="I519" i="1"/>
  <c r="H519" i="1"/>
  <c r="U518" i="1"/>
  <c r="T518" i="1"/>
  <c r="G518" i="1"/>
  <c r="F518" i="1"/>
  <c r="E518" i="1" s="1"/>
  <c r="T517" i="1"/>
  <c r="U517" i="1" s="1"/>
  <c r="G517" i="1"/>
  <c r="U516" i="1"/>
  <c r="T516" i="1"/>
  <c r="G516" i="1"/>
  <c r="F516" i="1" s="1"/>
  <c r="E516" i="1"/>
  <c r="T515" i="1"/>
  <c r="U515" i="1" s="1"/>
  <c r="G515" i="1"/>
  <c r="F515" i="1"/>
  <c r="E515" i="1" s="1"/>
  <c r="T514" i="1"/>
  <c r="G514" i="1"/>
  <c r="U514" i="1" s="1"/>
  <c r="F514" i="1"/>
  <c r="E514" i="1" s="1"/>
  <c r="S513" i="1"/>
  <c r="S512" i="1" s="1"/>
  <c r="R513" i="1"/>
  <c r="Q513" i="1"/>
  <c r="P513" i="1"/>
  <c r="P512" i="1" s="1"/>
  <c r="O513" i="1"/>
  <c r="N513" i="1"/>
  <c r="M513" i="1"/>
  <c r="L513" i="1"/>
  <c r="L512" i="1" s="1"/>
  <c r="K513" i="1"/>
  <c r="J513" i="1"/>
  <c r="I513" i="1"/>
  <c r="H513" i="1"/>
  <c r="H512" i="1" s="1"/>
  <c r="R512" i="1"/>
  <c r="Q512" i="1"/>
  <c r="O512" i="1"/>
  <c r="N512" i="1"/>
  <c r="M512" i="1"/>
  <c r="J512" i="1"/>
  <c r="I512" i="1"/>
  <c r="AI511" i="1"/>
  <c r="AG511" i="1"/>
  <c r="AH511" i="1" s="1"/>
  <c r="U511" i="1"/>
  <c r="T511" i="1"/>
  <c r="G511" i="1"/>
  <c r="F511" i="1" s="1"/>
  <c r="E511" i="1"/>
  <c r="S510" i="1"/>
  <c r="R510" i="1"/>
  <c r="Q510" i="1"/>
  <c r="P510" i="1"/>
  <c r="O510" i="1"/>
  <c r="N510" i="1"/>
  <c r="M510" i="1"/>
  <c r="L510" i="1"/>
  <c r="L502" i="1" s="1"/>
  <c r="K510" i="1"/>
  <c r="J510" i="1"/>
  <c r="I510" i="1"/>
  <c r="H510" i="1"/>
  <c r="G510" i="1"/>
  <c r="AH510" i="1" s="1"/>
  <c r="AI509" i="1"/>
  <c r="AG509" i="1"/>
  <c r="AH509" i="1" s="1"/>
  <c r="U509" i="1"/>
  <c r="T509" i="1"/>
  <c r="G509" i="1"/>
  <c r="F509" i="1" s="1"/>
  <c r="E509" i="1"/>
  <c r="S508" i="1"/>
  <c r="R508" i="1"/>
  <c r="R502" i="1" s="1"/>
  <c r="Q508" i="1"/>
  <c r="P508" i="1"/>
  <c r="O508" i="1"/>
  <c r="N508" i="1"/>
  <c r="M508" i="1"/>
  <c r="L508" i="1"/>
  <c r="K508" i="1"/>
  <c r="J508" i="1"/>
  <c r="I508" i="1"/>
  <c r="H508" i="1"/>
  <c r="G508" i="1"/>
  <c r="AH508" i="1" s="1"/>
  <c r="AG507" i="1"/>
  <c r="AH507" i="1" s="1"/>
  <c r="T507" i="1"/>
  <c r="U507" i="1" s="1"/>
  <c r="G507" i="1"/>
  <c r="S506" i="1"/>
  <c r="R506" i="1"/>
  <c r="Q506" i="1"/>
  <c r="P506" i="1"/>
  <c r="O506" i="1"/>
  <c r="N506" i="1"/>
  <c r="M506" i="1"/>
  <c r="M502" i="1" s="1"/>
  <c r="L506" i="1"/>
  <c r="K506" i="1"/>
  <c r="J506" i="1"/>
  <c r="I506" i="1"/>
  <c r="H506" i="1"/>
  <c r="U505" i="1"/>
  <c r="T505" i="1"/>
  <c r="G505" i="1"/>
  <c r="F505" i="1"/>
  <c r="E505" i="1" s="1"/>
  <c r="AG504" i="1"/>
  <c r="AH504" i="1" s="1"/>
  <c r="T504" i="1"/>
  <c r="U504" i="1" s="1"/>
  <c r="G504" i="1"/>
  <c r="S503" i="1"/>
  <c r="S502" i="1" s="1"/>
  <c r="R503" i="1"/>
  <c r="Q503" i="1"/>
  <c r="Q502" i="1" s="1"/>
  <c r="P503" i="1"/>
  <c r="P502" i="1" s="1"/>
  <c r="O503" i="1"/>
  <c r="N503" i="1"/>
  <c r="N502" i="1" s="1"/>
  <c r="M503" i="1"/>
  <c r="L503" i="1"/>
  <c r="K503" i="1"/>
  <c r="K502" i="1" s="1"/>
  <c r="J503" i="1"/>
  <c r="I503" i="1"/>
  <c r="I502" i="1" s="1"/>
  <c r="H503" i="1"/>
  <c r="J502" i="1"/>
  <c r="AG501" i="1"/>
  <c r="T501" i="1"/>
  <c r="U501" i="1" s="1"/>
  <c r="G501" i="1"/>
  <c r="AI501" i="1" s="1"/>
  <c r="F501" i="1"/>
  <c r="E501" i="1" s="1"/>
  <c r="AI500" i="1"/>
  <c r="AG500" i="1"/>
  <c r="AH500" i="1" s="1"/>
  <c r="T500" i="1"/>
  <c r="U500" i="1" s="1"/>
  <c r="G500" i="1"/>
  <c r="F500" i="1" s="1"/>
  <c r="E500" i="1"/>
  <c r="T499" i="1"/>
  <c r="G499" i="1"/>
  <c r="U499" i="1" s="1"/>
  <c r="T498" i="1"/>
  <c r="U498" i="1" s="1"/>
  <c r="G498" i="1"/>
  <c r="F498" i="1" s="1"/>
  <c r="E498" i="1"/>
  <c r="AG497" i="1"/>
  <c r="U497" i="1"/>
  <c r="T497" i="1"/>
  <c r="G497" i="1"/>
  <c r="AI497" i="1" s="1"/>
  <c r="S496" i="1"/>
  <c r="R496" i="1"/>
  <c r="Q496" i="1"/>
  <c r="P496" i="1"/>
  <c r="O496" i="1"/>
  <c r="N496" i="1"/>
  <c r="M496" i="1"/>
  <c r="L496" i="1"/>
  <c r="K496" i="1"/>
  <c r="J496" i="1"/>
  <c r="I496" i="1"/>
  <c r="H496" i="1"/>
  <c r="G496" i="1"/>
  <c r="AH496" i="1" s="1"/>
  <c r="U495" i="1"/>
  <c r="T495" i="1"/>
  <c r="G495" i="1"/>
  <c r="F495" i="1"/>
  <c r="T494" i="1"/>
  <c r="G494" i="1"/>
  <c r="U493" i="1"/>
  <c r="T493" i="1"/>
  <c r="G493" i="1"/>
  <c r="F493" i="1"/>
  <c r="E493" i="1" s="1"/>
  <c r="T492" i="1"/>
  <c r="U492" i="1" s="1"/>
  <c r="G492" i="1"/>
  <c r="F492" i="1"/>
  <c r="E492" i="1" s="1"/>
  <c r="U491" i="1"/>
  <c r="T491" i="1"/>
  <c r="G491" i="1"/>
  <c r="F491" i="1" s="1"/>
  <c r="E491" i="1" s="1"/>
  <c r="T490" i="1"/>
  <c r="U490" i="1" s="1"/>
  <c r="G490" i="1"/>
  <c r="F490" i="1"/>
  <c r="E490" i="1" s="1"/>
  <c r="T489" i="1"/>
  <c r="U489" i="1" s="1"/>
  <c r="G489" i="1"/>
  <c r="F489" i="1"/>
  <c r="E489" i="1" s="1"/>
  <c r="T488" i="1"/>
  <c r="G488" i="1"/>
  <c r="F488" i="1" s="1"/>
  <c r="E488" i="1" s="1"/>
  <c r="T487" i="1"/>
  <c r="G487" i="1"/>
  <c r="T486" i="1"/>
  <c r="U486" i="1" s="1"/>
  <c r="G486" i="1"/>
  <c r="F486" i="1"/>
  <c r="E486" i="1"/>
  <c r="AI485" i="1"/>
  <c r="AH485" i="1"/>
  <c r="AG485" i="1"/>
  <c r="T485" i="1"/>
  <c r="U485" i="1" s="1"/>
  <c r="G485" i="1"/>
  <c r="F485" i="1"/>
  <c r="E485" i="1" s="1"/>
  <c r="T484" i="1"/>
  <c r="G484" i="1"/>
  <c r="AH483" i="1"/>
  <c r="AA483" i="1"/>
  <c r="U483" i="1"/>
  <c r="T483" i="1"/>
  <c r="G483" i="1"/>
  <c r="S482" i="1"/>
  <c r="R482" i="1"/>
  <c r="Q482" i="1"/>
  <c r="P482" i="1"/>
  <c r="O482" i="1"/>
  <c r="N482" i="1"/>
  <c r="M482" i="1"/>
  <c r="L482" i="1"/>
  <c r="T482" i="1" s="1"/>
  <c r="K482" i="1"/>
  <c r="J482" i="1"/>
  <c r="J450" i="1" s="1"/>
  <c r="I482" i="1"/>
  <c r="H482" i="1"/>
  <c r="T481" i="1"/>
  <c r="G481" i="1"/>
  <c r="Z480" i="1"/>
  <c r="S480" i="1"/>
  <c r="S479" i="1" s="1"/>
  <c r="R480" i="1"/>
  <c r="R479" i="1" s="1"/>
  <c r="Q480" i="1"/>
  <c r="P480" i="1"/>
  <c r="O480" i="1"/>
  <c r="O479" i="1" s="1"/>
  <c r="N480" i="1"/>
  <c r="M480" i="1"/>
  <c r="L480" i="1"/>
  <c r="L479" i="1" s="1"/>
  <c r="K480" i="1"/>
  <c r="J480" i="1"/>
  <c r="J479" i="1" s="1"/>
  <c r="I480" i="1"/>
  <c r="H480" i="1"/>
  <c r="Z479" i="1"/>
  <c r="Q479" i="1"/>
  <c r="Q450" i="1" s="1"/>
  <c r="Q449" i="1" s="1"/>
  <c r="P479" i="1"/>
  <c r="N479" i="1"/>
  <c r="M479" i="1"/>
  <c r="K479" i="1"/>
  <c r="H479" i="1"/>
  <c r="T478" i="1"/>
  <c r="G478" i="1"/>
  <c r="G477" i="1" s="1"/>
  <c r="S477" i="1"/>
  <c r="R477" i="1"/>
  <c r="Q477" i="1"/>
  <c r="P477" i="1"/>
  <c r="O477" i="1"/>
  <c r="N477" i="1"/>
  <c r="M477" i="1"/>
  <c r="L477" i="1"/>
  <c r="K477" i="1"/>
  <c r="J477" i="1"/>
  <c r="I477" i="1"/>
  <c r="H477" i="1"/>
  <c r="U476" i="1"/>
  <c r="T476" i="1"/>
  <c r="G476" i="1"/>
  <c r="F476" i="1" s="1"/>
  <c r="E476" i="1" s="1"/>
  <c r="AH475" i="1"/>
  <c r="AG475" i="1"/>
  <c r="U475" i="1"/>
  <c r="T475" i="1"/>
  <c r="G475" i="1"/>
  <c r="AI475" i="1" s="1"/>
  <c r="F475" i="1"/>
  <c r="E475" i="1" s="1"/>
  <c r="AG474" i="1"/>
  <c r="AH474" i="1" s="1"/>
  <c r="T474" i="1"/>
  <c r="U474" i="1" s="1"/>
  <c r="G474" i="1"/>
  <c r="AH473" i="1"/>
  <c r="AG473" i="1"/>
  <c r="T473" i="1"/>
  <c r="U473" i="1" s="1"/>
  <c r="G473" i="1"/>
  <c r="AI473" i="1" s="1"/>
  <c r="F473" i="1"/>
  <c r="E473" i="1" s="1"/>
  <c r="AH472" i="1"/>
  <c r="AG472" i="1"/>
  <c r="AA472" i="1"/>
  <c r="U472" i="1"/>
  <c r="T472" i="1"/>
  <c r="G472" i="1"/>
  <c r="AI472" i="1" s="1"/>
  <c r="T471" i="1"/>
  <c r="G471" i="1"/>
  <c r="F471" i="1" s="1"/>
  <c r="E471" i="1" s="1"/>
  <c r="AG470" i="1"/>
  <c r="T470" i="1"/>
  <c r="U470" i="1" s="1"/>
  <c r="G470" i="1"/>
  <c r="F470" i="1"/>
  <c r="E470" i="1"/>
  <c r="U469" i="1"/>
  <c r="T469" i="1"/>
  <c r="G469" i="1"/>
  <c r="F469" i="1"/>
  <c r="E469" i="1"/>
  <c r="AI468" i="1"/>
  <c r="AG468" i="1"/>
  <c r="AH468" i="1" s="1"/>
  <c r="U468" i="1"/>
  <c r="T468" i="1"/>
  <c r="G468" i="1"/>
  <c r="F468" i="1"/>
  <c r="E468" i="1"/>
  <c r="S467" i="1"/>
  <c r="R467" i="1"/>
  <c r="Q467" i="1"/>
  <c r="P467" i="1"/>
  <c r="O467" i="1"/>
  <c r="N467" i="1"/>
  <c r="M467" i="1"/>
  <c r="M450" i="1" s="1"/>
  <c r="L467" i="1"/>
  <c r="K467" i="1"/>
  <c r="J467" i="1"/>
  <c r="I467" i="1"/>
  <c r="H467" i="1"/>
  <c r="G467" i="1"/>
  <c r="AH467" i="1" s="1"/>
  <c r="T465" i="1"/>
  <c r="U465" i="1" s="1"/>
  <c r="G465" i="1"/>
  <c r="F465" i="1" s="1"/>
  <c r="E465" i="1" s="1"/>
  <c r="U464" i="1"/>
  <c r="T464" i="1"/>
  <c r="G464" i="1"/>
  <c r="F464" i="1"/>
  <c r="E464" i="1"/>
  <c r="T463" i="1"/>
  <c r="U463" i="1" s="1"/>
  <c r="G463" i="1"/>
  <c r="F463" i="1"/>
  <c r="E463" i="1" s="1"/>
  <c r="T462" i="1"/>
  <c r="G462" i="1"/>
  <c r="U462" i="1" s="1"/>
  <c r="F462" i="1"/>
  <c r="E462" i="1"/>
  <c r="T461" i="1"/>
  <c r="U461" i="1" s="1"/>
  <c r="G461" i="1"/>
  <c r="F461" i="1" s="1"/>
  <c r="E461" i="1" s="1"/>
  <c r="T460" i="1"/>
  <c r="G460" i="1"/>
  <c r="AI459" i="1"/>
  <c r="AH459" i="1"/>
  <c r="AG459" i="1"/>
  <c r="T459" i="1"/>
  <c r="U459" i="1" s="1"/>
  <c r="G459" i="1"/>
  <c r="F459" i="1" s="1"/>
  <c r="E459" i="1"/>
  <c r="AH458" i="1"/>
  <c r="S458" i="1"/>
  <c r="R458" i="1"/>
  <c r="Q458" i="1"/>
  <c r="P458" i="1"/>
  <c r="O458" i="1"/>
  <c r="N458" i="1"/>
  <c r="M458" i="1"/>
  <c r="L458" i="1"/>
  <c r="K458" i="1"/>
  <c r="J458" i="1"/>
  <c r="I458" i="1"/>
  <c r="H458" i="1"/>
  <c r="G458" i="1"/>
  <c r="U457" i="1"/>
  <c r="T457" i="1"/>
  <c r="G457" i="1"/>
  <c r="F457" i="1" s="1"/>
  <c r="E457" i="1" s="1"/>
  <c r="AG456" i="1"/>
  <c r="T456" i="1"/>
  <c r="U456" i="1" s="1"/>
  <c r="G456" i="1"/>
  <c r="AI456" i="1" s="1"/>
  <c r="F456" i="1"/>
  <c r="E456" i="1" s="1"/>
  <c r="AI455" i="1"/>
  <c r="AA455" i="1"/>
  <c r="T455" i="1"/>
  <c r="U455" i="1" s="1"/>
  <c r="G455" i="1"/>
  <c r="AH455" i="1" s="1"/>
  <c r="F455" i="1"/>
  <c r="E455" i="1"/>
  <c r="AG454" i="1"/>
  <c r="AH454" i="1" s="1"/>
  <c r="U454" i="1"/>
  <c r="T454" i="1"/>
  <c r="G454" i="1"/>
  <c r="AI454" i="1" s="1"/>
  <c r="F454" i="1"/>
  <c r="E454" i="1" s="1"/>
  <c r="AI453" i="1"/>
  <c r="AG453" i="1"/>
  <c r="U453" i="1"/>
  <c r="T453" i="1"/>
  <c r="G453" i="1"/>
  <c r="F453" i="1" s="1"/>
  <c r="E453" i="1" s="1"/>
  <c r="AG452" i="1"/>
  <c r="AH452" i="1" s="1"/>
  <c r="T452" i="1"/>
  <c r="U452" i="1" s="1"/>
  <c r="G452" i="1"/>
  <c r="AI452" i="1" s="1"/>
  <c r="S451" i="1"/>
  <c r="R451" i="1"/>
  <c r="Q451" i="1"/>
  <c r="P451" i="1"/>
  <c r="P450" i="1" s="1"/>
  <c r="P449" i="1" s="1"/>
  <c r="O451" i="1"/>
  <c r="N451" i="1"/>
  <c r="M451" i="1"/>
  <c r="L451" i="1"/>
  <c r="K451" i="1"/>
  <c r="J451" i="1"/>
  <c r="I451" i="1"/>
  <c r="H451" i="1"/>
  <c r="G451" i="1"/>
  <c r="M449" i="1"/>
  <c r="T448" i="1"/>
  <c r="G448" i="1"/>
  <c r="U448" i="1" s="1"/>
  <c r="F448" i="1"/>
  <c r="E448" i="1"/>
  <c r="U447" i="1"/>
  <c r="T447" i="1"/>
  <c r="G447" i="1"/>
  <c r="F447" i="1"/>
  <c r="E447" i="1" s="1"/>
  <c r="U446" i="1"/>
  <c r="T446" i="1"/>
  <c r="G446" i="1"/>
  <c r="G444" i="1" s="1"/>
  <c r="F446" i="1"/>
  <c r="E446" i="1" s="1"/>
  <c r="S445" i="1"/>
  <c r="R445" i="1"/>
  <c r="Q445" i="1"/>
  <c r="P445" i="1"/>
  <c r="O445" i="1"/>
  <c r="N445" i="1"/>
  <c r="M445" i="1"/>
  <c r="L445" i="1"/>
  <c r="K445" i="1"/>
  <c r="J445" i="1"/>
  <c r="I445" i="1"/>
  <c r="H445" i="1"/>
  <c r="G445" i="1"/>
  <c r="E445" i="1" s="1"/>
  <c r="S444" i="1"/>
  <c r="R444" i="1"/>
  <c r="Q444" i="1"/>
  <c r="P444" i="1"/>
  <c r="O444" i="1"/>
  <c r="N444" i="1"/>
  <c r="M444" i="1"/>
  <c r="L444" i="1"/>
  <c r="K444" i="1"/>
  <c r="J444" i="1"/>
  <c r="I444" i="1"/>
  <c r="H444" i="1"/>
  <c r="T443" i="1"/>
  <c r="U443" i="1" s="1"/>
  <c r="G443" i="1"/>
  <c r="U442" i="1"/>
  <c r="T442" i="1"/>
  <c r="G442" i="1"/>
  <c r="F442" i="1"/>
  <c r="E442" i="1" s="1"/>
  <c r="T441" i="1"/>
  <c r="U441" i="1" s="1"/>
  <c r="G441" i="1"/>
  <c r="F441" i="1" s="1"/>
  <c r="E441" i="1"/>
  <c r="U440" i="1"/>
  <c r="T440" i="1"/>
  <c r="G440" i="1"/>
  <c r="F440" i="1"/>
  <c r="E440" i="1" s="1"/>
  <c r="U439" i="1"/>
  <c r="T439" i="1"/>
  <c r="G439" i="1"/>
  <c r="G437" i="1" s="1"/>
  <c r="F439" i="1"/>
  <c r="E439" i="1" s="1"/>
  <c r="T438" i="1"/>
  <c r="G438" i="1"/>
  <c r="F438" i="1" s="1"/>
  <c r="E438" i="1"/>
  <c r="S437" i="1"/>
  <c r="S436" i="1" s="1"/>
  <c r="R437" i="1"/>
  <c r="Q437" i="1"/>
  <c r="P437" i="1"/>
  <c r="O437" i="1"/>
  <c r="O436" i="1" s="1"/>
  <c r="N437" i="1"/>
  <c r="M437" i="1"/>
  <c r="L437" i="1"/>
  <c r="L436" i="1" s="1"/>
  <c r="K437" i="1"/>
  <c r="J437" i="1"/>
  <c r="I437" i="1"/>
  <c r="H437" i="1"/>
  <c r="R436" i="1"/>
  <c r="Q436" i="1"/>
  <c r="P436" i="1"/>
  <c r="N436" i="1"/>
  <c r="M436" i="1"/>
  <c r="K436" i="1"/>
  <c r="J436" i="1"/>
  <c r="I436" i="1"/>
  <c r="T436" i="1" s="1"/>
  <c r="H436" i="1"/>
  <c r="T435" i="1"/>
  <c r="G435" i="1"/>
  <c r="F435" i="1" s="1"/>
  <c r="E435" i="1" s="1"/>
  <c r="T434" i="1"/>
  <c r="O434" i="1"/>
  <c r="N434" i="1"/>
  <c r="T433" i="1"/>
  <c r="G433" i="1"/>
  <c r="S432" i="1"/>
  <c r="R432" i="1"/>
  <c r="Q432" i="1"/>
  <c r="P432" i="1"/>
  <c r="P431" i="1" s="1"/>
  <c r="O432" i="1"/>
  <c r="O431" i="1" s="1"/>
  <c r="N432" i="1"/>
  <c r="N431" i="1" s="1"/>
  <c r="M432" i="1"/>
  <c r="L432" i="1"/>
  <c r="K432" i="1"/>
  <c r="J432" i="1"/>
  <c r="I432" i="1"/>
  <c r="H432" i="1"/>
  <c r="S431" i="1"/>
  <c r="R431" i="1"/>
  <c r="Q431" i="1"/>
  <c r="M431" i="1"/>
  <c r="L431" i="1"/>
  <c r="K431" i="1"/>
  <c r="J431" i="1"/>
  <c r="I431" i="1"/>
  <c r="AI430" i="1"/>
  <c r="AH430" i="1"/>
  <c r="AG430" i="1"/>
  <c r="T430" i="1"/>
  <c r="U430" i="1" s="1"/>
  <c r="G430" i="1"/>
  <c r="F430" i="1"/>
  <c r="E430" i="1"/>
  <c r="AH429" i="1"/>
  <c r="S429" i="1"/>
  <c r="R429" i="1"/>
  <c r="Q429" i="1"/>
  <c r="P429" i="1"/>
  <c r="P428" i="1" s="1"/>
  <c r="O429" i="1"/>
  <c r="N429" i="1"/>
  <c r="N428" i="1" s="1"/>
  <c r="M429" i="1"/>
  <c r="L429" i="1"/>
  <c r="L428" i="1" s="1"/>
  <c r="K429" i="1"/>
  <c r="J429" i="1"/>
  <c r="J428" i="1" s="1"/>
  <c r="I429" i="1"/>
  <c r="H429" i="1"/>
  <c r="G429" i="1"/>
  <c r="G428" i="1" s="1"/>
  <c r="AH428" i="1"/>
  <c r="S428" i="1"/>
  <c r="R428" i="1"/>
  <c r="Q428" i="1"/>
  <c r="O428" i="1"/>
  <c r="M428" i="1"/>
  <c r="K428" i="1"/>
  <c r="I428" i="1"/>
  <c r="AI427" i="1"/>
  <c r="AG427" i="1"/>
  <c r="AH427" i="1" s="1"/>
  <c r="U427" i="1"/>
  <c r="T427" i="1"/>
  <c r="G427" i="1"/>
  <c r="F427" i="1"/>
  <c r="E427" i="1" s="1"/>
  <c r="AI426" i="1"/>
  <c r="AG426" i="1"/>
  <c r="AH426" i="1" s="1"/>
  <c r="AA426" i="1"/>
  <c r="U426" i="1"/>
  <c r="T426" i="1"/>
  <c r="G426" i="1"/>
  <c r="F426" i="1"/>
  <c r="E426" i="1" s="1"/>
  <c r="AG425" i="1"/>
  <c r="AH425" i="1" s="1"/>
  <c r="AA425" i="1"/>
  <c r="U425" i="1"/>
  <c r="T425" i="1"/>
  <c r="G425" i="1"/>
  <c r="AI425" i="1" s="1"/>
  <c r="F425" i="1"/>
  <c r="E425" i="1" s="1"/>
  <c r="AI424" i="1"/>
  <c r="AG424" i="1"/>
  <c r="AH424" i="1" s="1"/>
  <c r="AA424" i="1"/>
  <c r="T424" i="1"/>
  <c r="U424" i="1" s="1"/>
  <c r="G424" i="1"/>
  <c r="F424" i="1"/>
  <c r="E424" i="1" s="1"/>
  <c r="AI423" i="1"/>
  <c r="AG423" i="1"/>
  <c r="AH423" i="1" s="1"/>
  <c r="T423" i="1"/>
  <c r="U423" i="1" s="1"/>
  <c r="G423" i="1"/>
  <c r="F423" i="1" s="1"/>
  <c r="E423" i="1" s="1"/>
  <c r="AG422" i="1"/>
  <c r="AH422" i="1" s="1"/>
  <c r="T422" i="1"/>
  <c r="U422" i="1" s="1"/>
  <c r="G422" i="1"/>
  <c r="AG421" i="1"/>
  <c r="T421" i="1"/>
  <c r="G421" i="1"/>
  <c r="S420" i="1"/>
  <c r="R420" i="1"/>
  <c r="R417" i="1" s="1"/>
  <c r="Q420" i="1"/>
  <c r="Q417" i="1" s="1"/>
  <c r="P420" i="1"/>
  <c r="O420" i="1"/>
  <c r="N420" i="1"/>
  <c r="M420" i="1"/>
  <c r="L420" i="1"/>
  <c r="K420" i="1"/>
  <c r="J420" i="1"/>
  <c r="J417" i="1" s="1"/>
  <c r="I420" i="1"/>
  <c r="I417" i="1" s="1"/>
  <c r="H420" i="1"/>
  <c r="AG419" i="1"/>
  <c r="AA419" i="1"/>
  <c r="U419" i="1"/>
  <c r="T419" i="1"/>
  <c r="G419" i="1"/>
  <c r="G418" i="1" s="1"/>
  <c r="Z418" i="1"/>
  <c r="AA418" i="1" s="1"/>
  <c r="S418" i="1"/>
  <c r="S417" i="1" s="1"/>
  <c r="R418" i="1"/>
  <c r="Q418" i="1"/>
  <c r="P418" i="1"/>
  <c r="O418" i="1"/>
  <c r="N418" i="1"/>
  <c r="M418" i="1"/>
  <c r="L418" i="1"/>
  <c r="K418" i="1"/>
  <c r="J418" i="1"/>
  <c r="I418" i="1"/>
  <c r="H418" i="1"/>
  <c r="M417" i="1"/>
  <c r="L417" i="1"/>
  <c r="G416" i="1"/>
  <c r="F416" i="1"/>
  <c r="G415" i="1"/>
  <c r="F415" i="1" s="1"/>
  <c r="G414" i="1"/>
  <c r="F414" i="1" s="1"/>
  <c r="G413" i="1"/>
  <c r="F413" i="1" s="1"/>
  <c r="G412" i="1"/>
  <c r="F412" i="1" s="1"/>
  <c r="G411" i="1"/>
  <c r="F411" i="1" s="1"/>
  <c r="G410" i="1"/>
  <c r="F410" i="1" s="1"/>
  <c r="G409" i="1"/>
  <c r="G408" i="1"/>
  <c r="F408" i="1"/>
  <c r="G407" i="1"/>
  <c r="F407" i="1"/>
  <c r="AI406" i="1"/>
  <c r="AG406" i="1"/>
  <c r="AH406" i="1" s="1"/>
  <c r="U406" i="1"/>
  <c r="T406" i="1"/>
  <c r="G406" i="1"/>
  <c r="F406" i="1"/>
  <c r="E406" i="1" s="1"/>
  <c r="AI405" i="1"/>
  <c r="AG405" i="1"/>
  <c r="AH405" i="1" s="1"/>
  <c r="AA405" i="1"/>
  <c r="U405" i="1"/>
  <c r="T405" i="1"/>
  <c r="G405" i="1"/>
  <c r="F405" i="1"/>
  <c r="E405" i="1" s="1"/>
  <c r="S404" i="1"/>
  <c r="R404" i="1"/>
  <c r="Q404" i="1"/>
  <c r="P404" i="1"/>
  <c r="O404" i="1"/>
  <c r="N404" i="1"/>
  <c r="M404" i="1"/>
  <c r="L404" i="1"/>
  <c r="K404" i="1"/>
  <c r="T404" i="1" s="1"/>
  <c r="J404" i="1"/>
  <c r="I404" i="1"/>
  <c r="H404" i="1"/>
  <c r="AH403" i="1"/>
  <c r="AG403" i="1"/>
  <c r="T403" i="1"/>
  <c r="U403" i="1" s="1"/>
  <c r="G403" i="1"/>
  <c r="F403" i="1" s="1"/>
  <c r="E403" i="1" s="1"/>
  <c r="AG402" i="1"/>
  <c r="AH402" i="1" s="1"/>
  <c r="AA402" i="1"/>
  <c r="T402" i="1"/>
  <c r="U402" i="1" s="1"/>
  <c r="G402" i="1"/>
  <c r="F402" i="1" s="1"/>
  <c r="E402" i="1" s="1"/>
  <c r="S401" i="1"/>
  <c r="R401" i="1"/>
  <c r="Q401" i="1"/>
  <c r="P401" i="1"/>
  <c r="O401" i="1"/>
  <c r="N401" i="1"/>
  <c r="M401" i="1"/>
  <c r="L401" i="1"/>
  <c r="K401" i="1"/>
  <c r="J401" i="1"/>
  <c r="T401" i="1" s="1"/>
  <c r="I401" i="1"/>
  <c r="H401" i="1"/>
  <c r="T400" i="1"/>
  <c r="G400" i="1"/>
  <c r="F400" i="1" s="1"/>
  <c r="U399" i="1"/>
  <c r="T399" i="1"/>
  <c r="G399" i="1"/>
  <c r="F399" i="1"/>
  <c r="T398" i="1"/>
  <c r="G398" i="1"/>
  <c r="F398" i="1"/>
  <c r="E398" i="1" s="1"/>
  <c r="AG397" i="1"/>
  <c r="T397" i="1"/>
  <c r="U397" i="1" s="1"/>
  <c r="G397" i="1"/>
  <c r="Z396" i="1"/>
  <c r="S396" i="1"/>
  <c r="R396" i="1"/>
  <c r="Q396" i="1"/>
  <c r="P396" i="1"/>
  <c r="O396" i="1"/>
  <c r="N396" i="1"/>
  <c r="M396" i="1"/>
  <c r="L396" i="1"/>
  <c r="K396" i="1"/>
  <c r="J396" i="1"/>
  <c r="I396" i="1"/>
  <c r="H396" i="1"/>
  <c r="T395" i="1"/>
  <c r="G395" i="1"/>
  <c r="U395" i="1" s="1"/>
  <c r="AG394" i="1"/>
  <c r="O394" i="1"/>
  <c r="G394" i="1" s="1"/>
  <c r="N394" i="1"/>
  <c r="Z393" i="1"/>
  <c r="S393" i="1"/>
  <c r="R393" i="1"/>
  <c r="Q393" i="1"/>
  <c r="P393" i="1"/>
  <c r="N393" i="1"/>
  <c r="M393" i="1"/>
  <c r="L393" i="1"/>
  <c r="K393" i="1"/>
  <c r="J393" i="1"/>
  <c r="I393" i="1"/>
  <c r="H393" i="1"/>
  <c r="AG392" i="1"/>
  <c r="AH392" i="1" s="1"/>
  <c r="U392" i="1"/>
  <c r="T392" i="1"/>
  <c r="G392" i="1"/>
  <c r="T391" i="1"/>
  <c r="U391" i="1" s="1"/>
  <c r="G391" i="1"/>
  <c r="F391" i="1"/>
  <c r="E391" i="1" s="1"/>
  <c r="AG390" i="1"/>
  <c r="T390" i="1"/>
  <c r="U390" i="1" s="1"/>
  <c r="G390" i="1"/>
  <c r="AI390" i="1" s="1"/>
  <c r="U389" i="1"/>
  <c r="T389" i="1"/>
  <c r="G389" i="1"/>
  <c r="AG388" i="1"/>
  <c r="AH388" i="1" s="1"/>
  <c r="U388" i="1"/>
  <c r="T388" i="1"/>
  <c r="G388" i="1"/>
  <c r="F388" i="1" s="1"/>
  <c r="E388" i="1" s="1"/>
  <c r="AG387" i="1"/>
  <c r="AH387" i="1" s="1"/>
  <c r="T387" i="1"/>
  <c r="U387" i="1" s="1"/>
  <c r="G387" i="1"/>
  <c r="S386" i="1"/>
  <c r="R386" i="1"/>
  <c r="Q386" i="1"/>
  <c r="P386" i="1"/>
  <c r="O386" i="1"/>
  <c r="N386" i="1"/>
  <c r="M386" i="1"/>
  <c r="L386" i="1"/>
  <c r="K386" i="1"/>
  <c r="J386" i="1"/>
  <c r="I386" i="1"/>
  <c r="H386" i="1"/>
  <c r="AI385" i="1"/>
  <c r="AG385" i="1"/>
  <c r="AH385" i="1" s="1"/>
  <c r="U385" i="1"/>
  <c r="T385" i="1"/>
  <c r="G385" i="1"/>
  <c r="F385" i="1"/>
  <c r="E385" i="1" s="1"/>
  <c r="AG384" i="1"/>
  <c r="AH384" i="1" s="1"/>
  <c r="AA384" i="1"/>
  <c r="U384" i="1"/>
  <c r="T384" i="1"/>
  <c r="G384" i="1"/>
  <c r="F384" i="1" s="1"/>
  <c r="E384" i="1" s="1"/>
  <c r="AH383" i="1"/>
  <c r="AG383" i="1"/>
  <c r="U383" i="1"/>
  <c r="T383" i="1"/>
  <c r="G383" i="1"/>
  <c r="F383" i="1" s="1"/>
  <c r="E383" i="1" s="1"/>
  <c r="S382" i="1"/>
  <c r="R382" i="1"/>
  <c r="Q382" i="1"/>
  <c r="P382" i="1"/>
  <c r="O382" i="1"/>
  <c r="N382" i="1"/>
  <c r="M382" i="1"/>
  <c r="L382" i="1"/>
  <c r="K382" i="1"/>
  <c r="T382" i="1" s="1"/>
  <c r="J382" i="1"/>
  <c r="I382" i="1"/>
  <c r="H382" i="1"/>
  <c r="AI381" i="1"/>
  <c r="AG381" i="1"/>
  <c r="AH381" i="1" s="1"/>
  <c r="U381" i="1"/>
  <c r="T381" i="1"/>
  <c r="G381" i="1"/>
  <c r="AA381" i="1" s="1"/>
  <c r="F381" i="1"/>
  <c r="E381" i="1" s="1"/>
  <c r="AI380" i="1"/>
  <c r="AH380" i="1"/>
  <c r="AG380" i="1"/>
  <c r="U380" i="1"/>
  <c r="T380" i="1"/>
  <c r="G380" i="1"/>
  <c r="F380" i="1"/>
  <c r="E380" i="1" s="1"/>
  <c r="AI379" i="1"/>
  <c r="AH379" i="1"/>
  <c r="AG379" i="1"/>
  <c r="U379" i="1"/>
  <c r="T379" i="1"/>
  <c r="G379" i="1"/>
  <c r="F379" i="1"/>
  <c r="E379" i="1" s="1"/>
  <c r="AH378" i="1"/>
  <c r="S378" i="1"/>
  <c r="R378" i="1"/>
  <c r="Q378" i="1"/>
  <c r="Q372" i="1" s="1"/>
  <c r="Q371" i="1" s="1"/>
  <c r="P378" i="1"/>
  <c r="O378" i="1"/>
  <c r="N378" i="1"/>
  <c r="M378" i="1"/>
  <c r="L378" i="1"/>
  <c r="K378" i="1"/>
  <c r="J378" i="1"/>
  <c r="I378" i="1"/>
  <c r="I372" i="1" s="1"/>
  <c r="I371" i="1" s="1"/>
  <c r="H378" i="1"/>
  <c r="G378" i="1"/>
  <c r="AI377" i="1"/>
  <c r="AG377" i="1"/>
  <c r="AH377" i="1" s="1"/>
  <c r="U377" i="1"/>
  <c r="T377" i="1"/>
  <c r="G377" i="1"/>
  <c r="F377" i="1" s="1"/>
  <c r="E377" i="1" s="1"/>
  <c r="AG376" i="1"/>
  <c r="T376" i="1"/>
  <c r="G376" i="1"/>
  <c r="AG375" i="1"/>
  <c r="U375" i="1"/>
  <c r="T375" i="1"/>
  <c r="G375" i="1"/>
  <c r="AI375" i="1" s="1"/>
  <c r="F375" i="1"/>
  <c r="E375" i="1" s="1"/>
  <c r="T374" i="1"/>
  <c r="G374" i="1"/>
  <c r="F374" i="1"/>
  <c r="E374" i="1"/>
  <c r="S373" i="1"/>
  <c r="R373" i="1"/>
  <c r="Q373" i="1"/>
  <c r="P373" i="1"/>
  <c r="O373" i="1"/>
  <c r="N373" i="1"/>
  <c r="N372" i="1" s="1"/>
  <c r="N371" i="1" s="1"/>
  <c r="M373" i="1"/>
  <c r="L373" i="1"/>
  <c r="K373" i="1"/>
  <c r="J373" i="1"/>
  <c r="I373" i="1"/>
  <c r="H373" i="1"/>
  <c r="P372" i="1"/>
  <c r="P371" i="1" s="1"/>
  <c r="O372" i="1"/>
  <c r="L372" i="1"/>
  <c r="L371" i="1" s="1"/>
  <c r="O371" i="1"/>
  <c r="AI370" i="1"/>
  <c r="AG370" i="1"/>
  <c r="AH370" i="1" s="1"/>
  <c r="AA370" i="1"/>
  <c r="U370" i="1"/>
  <c r="T370" i="1"/>
  <c r="G370" i="1"/>
  <c r="F370" i="1" s="1"/>
  <c r="E370" i="1" s="1"/>
  <c r="AI369" i="1"/>
  <c r="AH369" i="1"/>
  <c r="AG369" i="1"/>
  <c r="U369" i="1"/>
  <c r="T369" i="1"/>
  <c r="G369" i="1"/>
  <c r="F369" i="1" s="1"/>
  <c r="E369" i="1"/>
  <c r="AI368" i="1"/>
  <c r="AG368" i="1"/>
  <c r="AH368" i="1" s="1"/>
  <c r="AA368" i="1"/>
  <c r="U368" i="1"/>
  <c r="T368" i="1"/>
  <c r="G368" i="1"/>
  <c r="F368" i="1"/>
  <c r="E368" i="1" s="1"/>
  <c r="S367" i="1"/>
  <c r="R367" i="1"/>
  <c r="Q367" i="1"/>
  <c r="P367" i="1"/>
  <c r="O367" i="1"/>
  <c r="N367" i="1"/>
  <c r="M367" i="1"/>
  <c r="L367" i="1"/>
  <c r="T367" i="1" s="1"/>
  <c r="K367" i="1"/>
  <c r="J367" i="1"/>
  <c r="I367" i="1"/>
  <c r="H367" i="1"/>
  <c r="AI366" i="1"/>
  <c r="AG366" i="1"/>
  <c r="AH366" i="1" s="1"/>
  <c r="U366" i="1"/>
  <c r="T366" i="1"/>
  <c r="G366" i="1"/>
  <c r="F366" i="1" s="1"/>
  <c r="E366" i="1" s="1"/>
  <c r="S365" i="1"/>
  <c r="R365" i="1"/>
  <c r="Q365" i="1"/>
  <c r="P365" i="1"/>
  <c r="O365" i="1"/>
  <c r="N365" i="1"/>
  <c r="N362" i="1" s="1"/>
  <c r="M365" i="1"/>
  <c r="L365" i="1"/>
  <c r="K365" i="1"/>
  <c r="K362" i="1" s="1"/>
  <c r="J365" i="1"/>
  <c r="I365" i="1"/>
  <c r="H365" i="1"/>
  <c r="G365" i="1"/>
  <c r="AI364" i="1"/>
  <c r="AH364" i="1"/>
  <c r="AG364" i="1"/>
  <c r="T364" i="1"/>
  <c r="U364" i="1" s="1"/>
  <c r="G364" i="1"/>
  <c r="AA364" i="1" s="1"/>
  <c r="F364" i="1"/>
  <c r="E364" i="1"/>
  <c r="Z363" i="1"/>
  <c r="S363" i="1"/>
  <c r="R363" i="1"/>
  <c r="Q363" i="1"/>
  <c r="Q362" i="1" s="1"/>
  <c r="P363" i="1"/>
  <c r="P362" i="1" s="1"/>
  <c r="O363" i="1"/>
  <c r="O362" i="1" s="1"/>
  <c r="N363" i="1"/>
  <c r="M363" i="1"/>
  <c r="L363" i="1"/>
  <c r="K363" i="1"/>
  <c r="J363" i="1"/>
  <c r="I363" i="1"/>
  <c r="H363" i="1"/>
  <c r="G363" i="1"/>
  <c r="S362" i="1"/>
  <c r="R362" i="1"/>
  <c r="J362" i="1"/>
  <c r="I362" i="1"/>
  <c r="AI361" i="1"/>
  <c r="AH361" i="1"/>
  <c r="AA361" i="1"/>
  <c r="T361" i="1"/>
  <c r="U361" i="1" s="1"/>
  <c r="G361" i="1"/>
  <c r="F361" i="1"/>
  <c r="E361" i="1" s="1"/>
  <c r="AH360" i="1"/>
  <c r="Z360" i="1"/>
  <c r="AA360" i="1" s="1"/>
  <c r="S360" i="1"/>
  <c r="R360" i="1"/>
  <c r="R328" i="1" s="1"/>
  <c r="Q360" i="1"/>
  <c r="P360" i="1"/>
  <c r="O360" i="1"/>
  <c r="N360" i="1"/>
  <c r="M360" i="1"/>
  <c r="L360" i="1"/>
  <c r="K360" i="1"/>
  <c r="J360" i="1"/>
  <c r="T360" i="1" s="1"/>
  <c r="U360" i="1" s="1"/>
  <c r="I360" i="1"/>
  <c r="H360" i="1"/>
  <c r="G360" i="1"/>
  <c r="T359" i="1"/>
  <c r="U359" i="1" s="1"/>
  <c r="G359" i="1"/>
  <c r="F359" i="1"/>
  <c r="E359" i="1"/>
  <c r="U358" i="1"/>
  <c r="T358" i="1"/>
  <c r="G358" i="1"/>
  <c r="F358" i="1" s="1"/>
  <c r="E358" i="1"/>
  <c r="T357" i="1"/>
  <c r="U357" i="1" s="1"/>
  <c r="G357" i="1"/>
  <c r="F357" i="1" s="1"/>
  <c r="E357" i="1" s="1"/>
  <c r="T356" i="1"/>
  <c r="U356" i="1" s="1"/>
  <c r="G356" i="1"/>
  <c r="F356" i="1" s="1"/>
  <c r="E356" i="1"/>
  <c r="U355" i="1"/>
  <c r="T355" i="1"/>
  <c r="G355" i="1"/>
  <c r="F355" i="1" s="1"/>
  <c r="E355" i="1" s="1"/>
  <c r="AG354" i="1"/>
  <c r="AA354" i="1"/>
  <c r="T354" i="1"/>
  <c r="U354" i="1" s="1"/>
  <c r="G354" i="1"/>
  <c r="T353" i="1"/>
  <c r="U353" i="1" s="1"/>
  <c r="G353" i="1"/>
  <c r="F353" i="1"/>
  <c r="E353" i="1" s="1"/>
  <c r="T352" i="1"/>
  <c r="U352" i="1" s="1"/>
  <c r="G352" i="1"/>
  <c r="F352" i="1" s="1"/>
  <c r="E352" i="1" s="1"/>
  <c r="T351" i="1"/>
  <c r="G351" i="1"/>
  <c r="U351" i="1" s="1"/>
  <c r="AI350" i="1"/>
  <c r="AG350" i="1"/>
  <c r="AH350" i="1" s="1"/>
  <c r="T350" i="1"/>
  <c r="U350" i="1" s="1"/>
  <c r="G350" i="1"/>
  <c r="F350" i="1"/>
  <c r="E350" i="1"/>
  <c r="U349" i="1"/>
  <c r="T349" i="1"/>
  <c r="G349" i="1"/>
  <c r="F349" i="1" s="1"/>
  <c r="E349" i="1" s="1"/>
  <c r="AI348" i="1"/>
  <c r="AH348" i="1"/>
  <c r="U348" i="1"/>
  <c r="T348" i="1"/>
  <c r="G348" i="1"/>
  <c r="F348" i="1"/>
  <c r="E348" i="1" s="1"/>
  <c r="T347" i="1"/>
  <c r="G347" i="1"/>
  <c r="U347" i="1" s="1"/>
  <c r="T346" i="1"/>
  <c r="U346" i="1" s="1"/>
  <c r="G346" i="1"/>
  <c r="F346" i="1" s="1"/>
  <c r="E346" i="1" s="1"/>
  <c r="AG345" i="1"/>
  <c r="AH345" i="1" s="1"/>
  <c r="U345" i="1"/>
  <c r="T345" i="1"/>
  <c r="G345" i="1"/>
  <c r="AA345" i="1" s="1"/>
  <c r="S344" i="1"/>
  <c r="R344" i="1"/>
  <c r="Q344" i="1"/>
  <c r="P344" i="1"/>
  <c r="P328" i="1" s="1"/>
  <c r="O344" i="1"/>
  <c r="N344" i="1"/>
  <c r="N328" i="1" s="1"/>
  <c r="M344" i="1"/>
  <c r="L344" i="1"/>
  <c r="K344" i="1"/>
  <c r="J344" i="1"/>
  <c r="I344" i="1"/>
  <c r="H344" i="1"/>
  <c r="T343" i="1"/>
  <c r="G343" i="1"/>
  <c r="U343" i="1" s="1"/>
  <c r="U342" i="1"/>
  <c r="T342" i="1"/>
  <c r="G342" i="1"/>
  <c r="F342" i="1" s="1"/>
  <c r="E342" i="1" s="1"/>
  <c r="T341" i="1"/>
  <c r="U341" i="1" s="1"/>
  <c r="G341" i="1"/>
  <c r="F341" i="1" s="1"/>
  <c r="E341" i="1" s="1"/>
  <c r="T340" i="1"/>
  <c r="U340" i="1" s="1"/>
  <c r="N340" i="1"/>
  <c r="G340" i="1"/>
  <c r="F340" i="1"/>
  <c r="E340" i="1" s="1"/>
  <c r="AG339" i="1"/>
  <c r="T339" i="1"/>
  <c r="G339" i="1"/>
  <c r="G338" i="1"/>
  <c r="F338" i="1"/>
  <c r="G337" i="1"/>
  <c r="F337" i="1" s="1"/>
  <c r="G336" i="1"/>
  <c r="F336" i="1" s="1"/>
  <c r="T335" i="1"/>
  <c r="U335" i="1" s="1"/>
  <c r="G335" i="1"/>
  <c r="F335" i="1"/>
  <c r="E335" i="1"/>
  <c r="T334" i="1"/>
  <c r="G334" i="1"/>
  <c r="F334" i="1" s="1"/>
  <c r="AI333" i="1"/>
  <c r="AG333" i="1"/>
  <c r="AH333" i="1" s="1"/>
  <c r="U333" i="1"/>
  <c r="T333" i="1"/>
  <c r="G333" i="1"/>
  <c r="F333" i="1"/>
  <c r="E333" i="1" s="1"/>
  <c r="AI332" i="1"/>
  <c r="AG332" i="1"/>
  <c r="AH332" i="1" s="1"/>
  <c r="U332" i="1"/>
  <c r="T332" i="1"/>
  <c r="G332" i="1"/>
  <c r="F332" i="1"/>
  <c r="E332" i="1" s="1"/>
  <c r="AI331" i="1"/>
  <c r="AH331" i="1"/>
  <c r="AG331" i="1"/>
  <c r="AA331" i="1"/>
  <c r="T331" i="1"/>
  <c r="U331" i="1" s="1"/>
  <c r="G331" i="1"/>
  <c r="F331" i="1"/>
  <c r="E331" i="1" s="1"/>
  <c r="AI330" i="1"/>
  <c r="AH330" i="1"/>
  <c r="AG330" i="1"/>
  <c r="T330" i="1"/>
  <c r="U330" i="1" s="1"/>
  <c r="G330" i="1"/>
  <c r="AA330" i="1" s="1"/>
  <c r="F330" i="1"/>
  <c r="E330" i="1" s="1"/>
  <c r="S329" i="1"/>
  <c r="R329" i="1"/>
  <c r="Q329" i="1"/>
  <c r="P329" i="1"/>
  <c r="O329" i="1"/>
  <c r="N329" i="1"/>
  <c r="M329" i="1"/>
  <c r="M328" i="1" s="1"/>
  <c r="L329" i="1"/>
  <c r="K329" i="1"/>
  <c r="J329" i="1"/>
  <c r="I329" i="1"/>
  <c r="I328" i="1" s="1"/>
  <c r="I240" i="1" s="1"/>
  <c r="H329" i="1"/>
  <c r="S328" i="1"/>
  <c r="Q328" i="1"/>
  <c r="O328" i="1"/>
  <c r="L328" i="1"/>
  <c r="H328" i="1"/>
  <c r="T327" i="1"/>
  <c r="G327" i="1"/>
  <c r="F327" i="1" s="1"/>
  <c r="E327" i="1" s="1"/>
  <c r="T326" i="1"/>
  <c r="U326" i="1" s="1"/>
  <c r="G326" i="1"/>
  <c r="F326" i="1" s="1"/>
  <c r="E326" i="1"/>
  <c r="T325" i="1"/>
  <c r="G325" i="1"/>
  <c r="F325" i="1" s="1"/>
  <c r="E325" i="1" s="1"/>
  <c r="U324" i="1"/>
  <c r="T324" i="1"/>
  <c r="G324" i="1"/>
  <c r="F324" i="1" s="1"/>
  <c r="E324" i="1"/>
  <c r="AI323" i="1"/>
  <c r="AH323" i="1"/>
  <c r="U323" i="1"/>
  <c r="T323" i="1"/>
  <c r="G323" i="1"/>
  <c r="F323" i="1"/>
  <c r="E323" i="1" s="1"/>
  <c r="AH322" i="1"/>
  <c r="T322" i="1"/>
  <c r="U322" i="1" s="1"/>
  <c r="G322" i="1"/>
  <c r="F322" i="1" s="1"/>
  <c r="E322" i="1" s="1"/>
  <c r="T321" i="1"/>
  <c r="G321" i="1"/>
  <c r="AI320" i="1"/>
  <c r="T320" i="1"/>
  <c r="G320" i="1"/>
  <c r="T319" i="1"/>
  <c r="G319" i="1"/>
  <c r="F319" i="1" s="1"/>
  <c r="E319" i="1" s="1"/>
  <c r="T318" i="1"/>
  <c r="G318" i="1"/>
  <c r="F318" i="1" s="1"/>
  <c r="E318" i="1"/>
  <c r="AI317" i="1"/>
  <c r="AH317" i="1"/>
  <c r="T317" i="1"/>
  <c r="U317" i="1" s="1"/>
  <c r="G317" i="1"/>
  <c r="F317" i="1"/>
  <c r="E317" i="1" s="1"/>
  <c r="AI316" i="1"/>
  <c r="AH316" i="1"/>
  <c r="U316" i="1"/>
  <c r="T316" i="1"/>
  <c r="G316" i="1"/>
  <c r="F316" i="1"/>
  <c r="E316" i="1" s="1"/>
  <c r="AG315" i="1"/>
  <c r="S315" i="1"/>
  <c r="R315" i="1"/>
  <c r="Q315" i="1"/>
  <c r="P315" i="1"/>
  <c r="P301" i="1" s="1"/>
  <c r="O315" i="1"/>
  <c r="N315" i="1"/>
  <c r="N301" i="1" s="1"/>
  <c r="M315" i="1"/>
  <c r="L315" i="1"/>
  <c r="K315" i="1"/>
  <c r="J315" i="1"/>
  <c r="T315" i="1" s="1"/>
  <c r="I315" i="1"/>
  <c r="H315" i="1"/>
  <c r="T314" i="1"/>
  <c r="U314" i="1" s="1"/>
  <c r="G314" i="1"/>
  <c r="F314" i="1" s="1"/>
  <c r="E314" i="1" s="1"/>
  <c r="U313" i="1"/>
  <c r="T313" i="1"/>
  <c r="G313" i="1"/>
  <c r="F313" i="1"/>
  <c r="E313" i="1"/>
  <c r="AI312" i="1"/>
  <c r="AG312" i="1"/>
  <c r="AH312" i="1" s="1"/>
  <c r="U312" i="1"/>
  <c r="T312" i="1"/>
  <c r="G312" i="1"/>
  <c r="F312" i="1"/>
  <c r="E312" i="1"/>
  <c r="AI311" i="1"/>
  <c r="AG311" i="1"/>
  <c r="AH311" i="1" s="1"/>
  <c r="AA311" i="1"/>
  <c r="T311" i="1"/>
  <c r="U311" i="1" s="1"/>
  <c r="G311" i="1"/>
  <c r="F311" i="1"/>
  <c r="E311" i="1"/>
  <c r="T310" i="1"/>
  <c r="G310" i="1"/>
  <c r="F310" i="1" s="1"/>
  <c r="E310" i="1" s="1"/>
  <c r="AG309" i="1"/>
  <c r="AH309" i="1" s="1"/>
  <c r="U309" i="1"/>
  <c r="T309" i="1"/>
  <c r="G309" i="1"/>
  <c r="T308" i="1"/>
  <c r="U308" i="1" s="1"/>
  <c r="G308" i="1"/>
  <c r="F308" i="1"/>
  <c r="AI307" i="1"/>
  <c r="AH307" i="1"/>
  <c r="AG307" i="1"/>
  <c r="U307" i="1"/>
  <c r="T307" i="1"/>
  <c r="G307" i="1"/>
  <c r="F307" i="1" s="1"/>
  <c r="E307" i="1" s="1"/>
  <c r="T306" i="1"/>
  <c r="U306" i="1" s="1"/>
  <c r="G306" i="1"/>
  <c r="F306" i="1"/>
  <c r="AG305" i="1"/>
  <c r="T305" i="1"/>
  <c r="U305" i="1" s="1"/>
  <c r="G305" i="1"/>
  <c r="U304" i="1"/>
  <c r="T304" i="1"/>
  <c r="G304" i="1"/>
  <c r="F304" i="1" s="1"/>
  <c r="AI303" i="1"/>
  <c r="AH303" i="1"/>
  <c r="AG303" i="1"/>
  <c r="T303" i="1"/>
  <c r="U303" i="1" s="1"/>
  <c r="G303" i="1"/>
  <c r="F303" i="1"/>
  <c r="E303" i="1" s="1"/>
  <c r="S302" i="1"/>
  <c r="S301" i="1" s="1"/>
  <c r="R302" i="1"/>
  <c r="R301" i="1" s="1"/>
  <c r="Q302" i="1"/>
  <c r="P302" i="1"/>
  <c r="O302" i="1"/>
  <c r="N302" i="1"/>
  <c r="M302" i="1"/>
  <c r="L302" i="1"/>
  <c r="K302" i="1"/>
  <c r="J302" i="1"/>
  <c r="J301" i="1" s="1"/>
  <c r="I302" i="1"/>
  <c r="H302" i="1"/>
  <c r="Q301" i="1"/>
  <c r="Q240" i="1" s="1"/>
  <c r="O301" i="1"/>
  <c r="L301" i="1"/>
  <c r="K301" i="1"/>
  <c r="I301" i="1"/>
  <c r="H301" i="1"/>
  <c r="AG300" i="1"/>
  <c r="T300" i="1"/>
  <c r="G300" i="1"/>
  <c r="Z299" i="1"/>
  <c r="S299" i="1"/>
  <c r="R299" i="1"/>
  <c r="Q299" i="1"/>
  <c r="P299" i="1"/>
  <c r="O299" i="1"/>
  <c r="N299" i="1"/>
  <c r="M299" i="1"/>
  <c r="L299" i="1"/>
  <c r="K299" i="1"/>
  <c r="J299" i="1"/>
  <c r="I299" i="1"/>
  <c r="H299" i="1"/>
  <c r="T298" i="1"/>
  <c r="U298" i="1" s="1"/>
  <c r="G298" i="1"/>
  <c r="F298" i="1" s="1"/>
  <c r="E298" i="1" s="1"/>
  <c r="AG297" i="1"/>
  <c r="T297" i="1"/>
  <c r="U297" i="1" s="1"/>
  <c r="G297" i="1"/>
  <c r="F297" i="1"/>
  <c r="E297" i="1" s="1"/>
  <c r="S296" i="1"/>
  <c r="R296" i="1"/>
  <c r="R267" i="1" s="1"/>
  <c r="Q296" i="1"/>
  <c r="Q267" i="1" s="1"/>
  <c r="P296" i="1"/>
  <c r="P267" i="1" s="1"/>
  <c r="O296" i="1"/>
  <c r="N296" i="1"/>
  <c r="N267" i="1" s="1"/>
  <c r="M296" i="1"/>
  <c r="L296" i="1"/>
  <c r="K296" i="1"/>
  <c r="J296" i="1"/>
  <c r="J267" i="1" s="1"/>
  <c r="I296" i="1"/>
  <c r="I267" i="1" s="1"/>
  <c r="H296" i="1"/>
  <c r="U295" i="1"/>
  <c r="T295" i="1"/>
  <c r="G295" i="1"/>
  <c r="F295" i="1" s="1"/>
  <c r="T294" i="1"/>
  <c r="U294" i="1" s="1"/>
  <c r="G294" i="1"/>
  <c r="F294" i="1"/>
  <c r="U293" i="1"/>
  <c r="T293" i="1"/>
  <c r="G293" i="1"/>
  <c r="F293" i="1" s="1"/>
  <c r="T292" i="1"/>
  <c r="U292" i="1" s="1"/>
  <c r="G292" i="1"/>
  <c r="F292" i="1"/>
  <c r="U291" i="1"/>
  <c r="T291" i="1"/>
  <c r="G291" i="1"/>
  <c r="F291" i="1" s="1"/>
  <c r="U290" i="1"/>
  <c r="T290" i="1"/>
  <c r="G290" i="1"/>
  <c r="F290" i="1"/>
  <c r="T289" i="1"/>
  <c r="G289" i="1"/>
  <c r="U288" i="1"/>
  <c r="T288" i="1"/>
  <c r="G288" i="1"/>
  <c r="F288" i="1"/>
  <c r="T287" i="1"/>
  <c r="G287" i="1"/>
  <c r="T286" i="1"/>
  <c r="U286" i="1" s="1"/>
  <c r="G286" i="1"/>
  <c r="F286" i="1"/>
  <c r="E286" i="1"/>
  <c r="T285" i="1"/>
  <c r="U285" i="1" s="1"/>
  <c r="G285" i="1"/>
  <c r="F285" i="1"/>
  <c r="AI284" i="1"/>
  <c r="AG284" i="1"/>
  <c r="AH284" i="1" s="1"/>
  <c r="U284" i="1"/>
  <c r="T284" i="1"/>
  <c r="G284" i="1"/>
  <c r="F284" i="1"/>
  <c r="E284" i="1" s="1"/>
  <c r="AG283" i="1"/>
  <c r="AH283" i="1" s="1"/>
  <c r="T283" i="1"/>
  <c r="U283" i="1" s="1"/>
  <c r="G283" i="1"/>
  <c r="F283" i="1" s="1"/>
  <c r="E283" i="1" s="1"/>
  <c r="AG282" i="1"/>
  <c r="AA282" i="1"/>
  <c r="T282" i="1"/>
  <c r="U282" i="1" s="1"/>
  <c r="G282" i="1"/>
  <c r="T281" i="1"/>
  <c r="G281" i="1"/>
  <c r="F281" i="1"/>
  <c r="E281" i="1"/>
  <c r="T280" i="1"/>
  <c r="U280" i="1" s="1"/>
  <c r="G280" i="1"/>
  <c r="F280" i="1" s="1"/>
  <c r="E280" i="1"/>
  <c r="AH279" i="1"/>
  <c r="AG279" i="1"/>
  <c r="T279" i="1"/>
  <c r="U279" i="1" s="1"/>
  <c r="G279" i="1"/>
  <c r="AI278" i="1"/>
  <c r="AG278" i="1"/>
  <c r="AH278" i="1" s="1"/>
  <c r="U278" i="1"/>
  <c r="T278" i="1"/>
  <c r="G278" i="1"/>
  <c r="F278" i="1" s="1"/>
  <c r="E278" i="1"/>
  <c r="AH277" i="1"/>
  <c r="AG277" i="1"/>
  <c r="U277" i="1"/>
  <c r="T277" i="1"/>
  <c r="G277" i="1"/>
  <c r="AI276" i="1"/>
  <c r="AG276" i="1"/>
  <c r="AH276" i="1" s="1"/>
  <c r="AA276" i="1"/>
  <c r="T276" i="1"/>
  <c r="U276" i="1" s="1"/>
  <c r="G276" i="1"/>
  <c r="F276" i="1"/>
  <c r="E276" i="1" s="1"/>
  <c r="AI275" i="1"/>
  <c r="AH275" i="1"/>
  <c r="AA275" i="1"/>
  <c r="T275" i="1"/>
  <c r="U275" i="1" s="1"/>
  <c r="G275" i="1"/>
  <c r="F275" i="1"/>
  <c r="E275" i="1" s="1"/>
  <c r="AG274" i="1"/>
  <c r="AA274" i="1"/>
  <c r="T274" i="1"/>
  <c r="G274" i="1"/>
  <c r="F274" i="1" s="1"/>
  <c r="E274" i="1" s="1"/>
  <c r="AI273" i="1"/>
  <c r="AG273" i="1"/>
  <c r="AH273" i="1" s="1"/>
  <c r="AA273" i="1"/>
  <c r="T273" i="1"/>
  <c r="U273" i="1" s="1"/>
  <c r="G273" i="1"/>
  <c r="F273" i="1"/>
  <c r="E273" i="1" s="1"/>
  <c r="AI272" i="1"/>
  <c r="U272" i="1"/>
  <c r="T272" i="1"/>
  <c r="G272" i="1"/>
  <c r="AA272" i="1" s="1"/>
  <c r="F272" i="1"/>
  <c r="E272" i="1"/>
  <c r="T271" i="1"/>
  <c r="G271" i="1"/>
  <c r="AI270" i="1"/>
  <c r="AA270" i="1"/>
  <c r="U270" i="1"/>
  <c r="T270" i="1"/>
  <c r="G270" i="1"/>
  <c r="F270" i="1" s="1"/>
  <c r="E270" i="1" s="1"/>
  <c r="U269" i="1"/>
  <c r="T269" i="1"/>
  <c r="G269" i="1"/>
  <c r="F269" i="1" s="1"/>
  <c r="E269" i="1" s="1"/>
  <c r="U268" i="1"/>
  <c r="T268" i="1"/>
  <c r="G268" i="1"/>
  <c r="AI268" i="1" s="1"/>
  <c r="F268" i="1"/>
  <c r="E268" i="1" s="1"/>
  <c r="S267" i="1"/>
  <c r="O267" i="1"/>
  <c r="M267" i="1"/>
  <c r="L267" i="1"/>
  <c r="K267" i="1"/>
  <c r="U266" i="1"/>
  <c r="T266" i="1"/>
  <c r="G266" i="1"/>
  <c r="F266" i="1"/>
  <c r="E266" i="1" s="1"/>
  <c r="T265" i="1"/>
  <c r="U265" i="1" s="1"/>
  <c r="G265" i="1"/>
  <c r="F265" i="1"/>
  <c r="E265" i="1" s="1"/>
  <c r="T264" i="1"/>
  <c r="U264" i="1" s="1"/>
  <c r="G264" i="1"/>
  <c r="F264" i="1"/>
  <c r="E264" i="1"/>
  <c r="U263" i="1"/>
  <c r="T263" i="1"/>
  <c r="G263" i="1"/>
  <c r="AI263" i="1" s="1"/>
  <c r="F263" i="1"/>
  <c r="E263" i="1" s="1"/>
  <c r="U262" i="1"/>
  <c r="T262" i="1"/>
  <c r="G262" i="1"/>
  <c r="F262" i="1" s="1"/>
  <c r="E262" i="1"/>
  <c r="T261" i="1"/>
  <c r="G261" i="1"/>
  <c r="AI260" i="1"/>
  <c r="U260" i="1"/>
  <c r="T260" i="1"/>
  <c r="G260" i="1"/>
  <c r="F260" i="1"/>
  <c r="E260" i="1" s="1"/>
  <c r="U259" i="1"/>
  <c r="T259" i="1"/>
  <c r="G259" i="1"/>
  <c r="AI259" i="1" s="1"/>
  <c r="F259" i="1"/>
  <c r="E259" i="1" s="1"/>
  <c r="AI258" i="1"/>
  <c r="U258" i="1"/>
  <c r="T258" i="1"/>
  <c r="G258" i="1"/>
  <c r="F258" i="1"/>
  <c r="E258" i="1" s="1"/>
  <c r="U257" i="1"/>
  <c r="T257" i="1"/>
  <c r="G257" i="1"/>
  <c r="F257" i="1" s="1"/>
  <c r="E257" i="1" s="1"/>
  <c r="T256" i="1"/>
  <c r="G256" i="1"/>
  <c r="AA255" i="1"/>
  <c r="U255" i="1"/>
  <c r="T255" i="1"/>
  <c r="G255" i="1"/>
  <c r="F255" i="1" s="1"/>
  <c r="E255" i="1" s="1"/>
  <c r="T254" i="1"/>
  <c r="G254" i="1"/>
  <c r="F254" i="1" s="1"/>
  <c r="E254" i="1" s="1"/>
  <c r="U253" i="1"/>
  <c r="T253" i="1"/>
  <c r="G253" i="1"/>
  <c r="AI253" i="1" s="1"/>
  <c r="AI252" i="1"/>
  <c r="T252" i="1"/>
  <c r="G252" i="1"/>
  <c r="S251" i="1"/>
  <c r="R251" i="1"/>
  <c r="Q251" i="1"/>
  <c r="P251" i="1"/>
  <c r="O251" i="1"/>
  <c r="N251" i="1"/>
  <c r="M251" i="1"/>
  <c r="L251" i="1"/>
  <c r="K251" i="1"/>
  <c r="J251" i="1"/>
  <c r="I251" i="1"/>
  <c r="H251" i="1"/>
  <c r="U250" i="1"/>
  <c r="T250" i="1"/>
  <c r="G250" i="1"/>
  <c r="F250" i="1"/>
  <c r="E250" i="1"/>
  <c r="T249" i="1"/>
  <c r="O249" i="1"/>
  <c r="O241" i="1" s="1"/>
  <c r="N249" i="1"/>
  <c r="T248" i="1"/>
  <c r="G248" i="1"/>
  <c r="AI247" i="1"/>
  <c r="U247" i="1"/>
  <c r="T247" i="1"/>
  <c r="G247" i="1"/>
  <c r="AA247" i="1" s="1"/>
  <c r="U246" i="1"/>
  <c r="T246" i="1"/>
  <c r="G246" i="1"/>
  <c r="F246" i="1"/>
  <c r="E246" i="1" s="1"/>
  <c r="AI245" i="1"/>
  <c r="AA245" i="1"/>
  <c r="U245" i="1"/>
  <c r="T245" i="1"/>
  <c r="G245" i="1"/>
  <c r="F245" i="1" s="1"/>
  <c r="E245" i="1"/>
  <c r="AI244" i="1"/>
  <c r="U244" i="1"/>
  <c r="T244" i="1"/>
  <c r="G244" i="1"/>
  <c r="T243" i="1"/>
  <c r="G243" i="1"/>
  <c r="F243" i="1" s="1"/>
  <c r="E243" i="1" s="1"/>
  <c r="T242" i="1"/>
  <c r="U242" i="1" s="1"/>
  <c r="G242" i="1"/>
  <c r="F242" i="1"/>
  <c r="E242" i="1"/>
  <c r="Z241" i="1"/>
  <c r="S241" i="1"/>
  <c r="R241" i="1"/>
  <c r="Q241" i="1"/>
  <c r="P241" i="1"/>
  <c r="M241" i="1"/>
  <c r="L241" i="1"/>
  <c r="K241" i="1"/>
  <c r="J241" i="1"/>
  <c r="I241" i="1"/>
  <c r="H241" i="1"/>
  <c r="T239" i="1"/>
  <c r="G239" i="1"/>
  <c r="F239" i="1" s="1"/>
  <c r="E239" i="1" s="1"/>
  <c r="AI238" i="1"/>
  <c r="T238" i="1"/>
  <c r="U238" i="1" s="1"/>
  <c r="G238" i="1"/>
  <c r="F238" i="1"/>
  <c r="E238" i="1"/>
  <c r="AI237" i="1"/>
  <c r="U237" i="1"/>
  <c r="T237" i="1"/>
  <c r="G237" i="1"/>
  <c r="F237" i="1"/>
  <c r="E237" i="1" s="1"/>
  <c r="S236" i="1"/>
  <c r="R236" i="1"/>
  <c r="Q236" i="1"/>
  <c r="P236" i="1"/>
  <c r="O236" i="1"/>
  <c r="N236" i="1"/>
  <c r="M236" i="1"/>
  <c r="L236" i="1"/>
  <c r="K236" i="1"/>
  <c r="J236" i="1"/>
  <c r="I236" i="1"/>
  <c r="H236" i="1"/>
  <c r="U235" i="1"/>
  <c r="T235" i="1"/>
  <c r="G235" i="1"/>
  <c r="F235" i="1"/>
  <c r="E235" i="1"/>
  <c r="U234" i="1"/>
  <c r="T234" i="1"/>
  <c r="G234" i="1"/>
  <c r="F234" i="1"/>
  <c r="E234" i="1" s="1"/>
  <c r="AA233" i="1"/>
  <c r="T233" i="1"/>
  <c r="U233" i="1" s="1"/>
  <c r="G233" i="1"/>
  <c r="F233" i="1" s="1"/>
  <c r="E233" i="1" s="1"/>
  <c r="T232" i="1"/>
  <c r="U232" i="1" s="1"/>
  <c r="G232" i="1"/>
  <c r="F232" i="1"/>
  <c r="E232" i="1"/>
  <c r="AI231" i="1"/>
  <c r="T231" i="1"/>
  <c r="U231" i="1" s="1"/>
  <c r="G231" i="1"/>
  <c r="F231" i="1"/>
  <c r="E231" i="1"/>
  <c r="S230" i="1"/>
  <c r="R230" i="1"/>
  <c r="Q230" i="1"/>
  <c r="P230" i="1"/>
  <c r="O230" i="1"/>
  <c r="N230" i="1"/>
  <c r="M230" i="1"/>
  <c r="L230" i="1"/>
  <c r="K230" i="1"/>
  <c r="J230" i="1"/>
  <c r="I230" i="1"/>
  <c r="H230" i="1"/>
  <c r="G230" i="1"/>
  <c r="E230" i="1" s="1"/>
  <c r="T229" i="1"/>
  <c r="U229" i="1" s="1"/>
  <c r="G229" i="1"/>
  <c r="S228" i="1"/>
  <c r="R228" i="1"/>
  <c r="Q228" i="1"/>
  <c r="P228" i="1"/>
  <c r="O228" i="1"/>
  <c r="N228" i="1"/>
  <c r="M228" i="1"/>
  <c r="L228" i="1"/>
  <c r="K228" i="1"/>
  <c r="J228" i="1"/>
  <c r="I228" i="1"/>
  <c r="H228" i="1"/>
  <c r="T228" i="1" s="1"/>
  <c r="U227" i="1"/>
  <c r="T227" i="1"/>
  <c r="G227" i="1"/>
  <c r="F227" i="1"/>
  <c r="G226" i="1"/>
  <c r="F226" i="1" s="1"/>
  <c r="G225" i="1"/>
  <c r="F225" i="1"/>
  <c r="G224" i="1"/>
  <c r="F224" i="1" s="1"/>
  <c r="AH223" i="1"/>
  <c r="AG223" i="1"/>
  <c r="T223" i="1"/>
  <c r="G223" i="1"/>
  <c r="F223" i="1" s="1"/>
  <c r="E223" i="1" s="1"/>
  <c r="AI222" i="1"/>
  <c r="T222" i="1"/>
  <c r="U222" i="1" s="1"/>
  <c r="G222" i="1"/>
  <c r="F222" i="1" s="1"/>
  <c r="E222" i="1"/>
  <c r="G221" i="1"/>
  <c r="F221" i="1"/>
  <c r="S220" i="1"/>
  <c r="R220" i="1"/>
  <c r="R174" i="1" s="1"/>
  <c r="Q220" i="1"/>
  <c r="P220" i="1"/>
  <c r="P174" i="1" s="1"/>
  <c r="O220" i="1"/>
  <c r="G220" i="1" s="1"/>
  <c r="F220" i="1" s="1"/>
  <c r="N220" i="1"/>
  <c r="M220" i="1"/>
  <c r="L220" i="1"/>
  <c r="L174" i="1" s="1"/>
  <c r="K220" i="1"/>
  <c r="J220" i="1"/>
  <c r="I220" i="1"/>
  <c r="U219" i="1"/>
  <c r="T219" i="1"/>
  <c r="G219" i="1"/>
  <c r="F219" i="1"/>
  <c r="T218" i="1"/>
  <c r="G218" i="1"/>
  <c r="U218" i="1" s="1"/>
  <c r="F218" i="1"/>
  <c r="U217" i="1"/>
  <c r="T217" i="1"/>
  <c r="G217" i="1"/>
  <c r="F217" i="1"/>
  <c r="T216" i="1"/>
  <c r="G216" i="1"/>
  <c r="U216" i="1" s="1"/>
  <c r="F216" i="1"/>
  <c r="U215" i="1"/>
  <c r="T215" i="1"/>
  <c r="G215" i="1"/>
  <c r="F215" i="1"/>
  <c r="T214" i="1"/>
  <c r="G214" i="1"/>
  <c r="U214" i="1" s="1"/>
  <c r="U213" i="1"/>
  <c r="T213" i="1"/>
  <c r="G213" i="1"/>
  <c r="F213" i="1"/>
  <c r="T212" i="1"/>
  <c r="G212" i="1"/>
  <c r="U212" i="1" s="1"/>
  <c r="F212" i="1"/>
  <c r="G211" i="1"/>
  <c r="F211" i="1" s="1"/>
  <c r="G210" i="1"/>
  <c r="F210" i="1"/>
  <c r="T209" i="1"/>
  <c r="G209" i="1"/>
  <c r="U209" i="1" s="1"/>
  <c r="F209" i="1"/>
  <c r="U208" i="1"/>
  <c r="T208" i="1"/>
  <c r="G208" i="1"/>
  <c r="F208" i="1"/>
  <c r="T207" i="1"/>
  <c r="G207" i="1"/>
  <c r="U207" i="1" s="1"/>
  <c r="U206" i="1"/>
  <c r="T206" i="1"/>
  <c r="G206" i="1"/>
  <c r="F206" i="1"/>
  <c r="T205" i="1"/>
  <c r="G205" i="1"/>
  <c r="U205" i="1" s="1"/>
  <c r="F205" i="1"/>
  <c r="U204" i="1"/>
  <c r="T204" i="1"/>
  <c r="G204" i="1"/>
  <c r="F204" i="1"/>
  <c r="E204" i="1"/>
  <c r="T203" i="1"/>
  <c r="G203" i="1"/>
  <c r="F203" i="1"/>
  <c r="E203" i="1"/>
  <c r="T202" i="1"/>
  <c r="G202" i="1"/>
  <c r="E202" i="1"/>
  <c r="T201" i="1"/>
  <c r="G201" i="1"/>
  <c r="F201" i="1"/>
  <c r="U200" i="1"/>
  <c r="T200" i="1"/>
  <c r="G200" i="1"/>
  <c r="F200" i="1"/>
  <c r="T199" i="1"/>
  <c r="U199" i="1" s="1"/>
  <c r="G199" i="1"/>
  <c r="F199" i="1"/>
  <c r="E199" i="1"/>
  <c r="AA198" i="1"/>
  <c r="U198" i="1"/>
  <c r="T198" i="1"/>
  <c r="G198" i="1"/>
  <c r="F198" i="1"/>
  <c r="E198" i="1"/>
  <c r="T197" i="1"/>
  <c r="G197" i="1"/>
  <c r="AI196" i="1"/>
  <c r="AA196" i="1"/>
  <c r="U196" i="1"/>
  <c r="T196" i="1"/>
  <c r="G196" i="1"/>
  <c r="F196" i="1"/>
  <c r="O195" i="1"/>
  <c r="N195" i="1"/>
  <c r="G195" i="1" s="1"/>
  <c r="E195" i="1"/>
  <c r="T194" i="1"/>
  <c r="G194" i="1"/>
  <c r="F194" i="1" s="1"/>
  <c r="E194" i="1"/>
  <c r="N193" i="1"/>
  <c r="T192" i="1"/>
  <c r="I192" i="1"/>
  <c r="G192" i="1"/>
  <c r="F192" i="1"/>
  <c r="E192" i="1"/>
  <c r="G191" i="1"/>
  <c r="F191" i="1"/>
  <c r="T190" i="1"/>
  <c r="G190" i="1"/>
  <c r="U190" i="1" s="1"/>
  <c r="F190" i="1"/>
  <c r="E190" i="1"/>
  <c r="U189" i="1"/>
  <c r="T189" i="1"/>
  <c r="G189" i="1"/>
  <c r="E189" i="1"/>
  <c r="T188" i="1"/>
  <c r="U188" i="1" s="1"/>
  <c r="G188" i="1"/>
  <c r="F188" i="1"/>
  <c r="U187" i="1"/>
  <c r="T187" i="1"/>
  <c r="G187" i="1"/>
  <c r="F187" i="1" s="1"/>
  <c r="E187" i="1"/>
  <c r="T186" i="1"/>
  <c r="G186" i="1"/>
  <c r="F186" i="1"/>
  <c r="E186" i="1"/>
  <c r="AI185" i="1"/>
  <c r="U185" i="1"/>
  <c r="T185" i="1"/>
  <c r="G185" i="1"/>
  <c r="F185" i="1"/>
  <c r="E185" i="1"/>
  <c r="U184" i="1"/>
  <c r="T184" i="1"/>
  <c r="G184" i="1"/>
  <c r="F184" i="1"/>
  <c r="T183" i="1"/>
  <c r="U183" i="1" s="1"/>
  <c r="G183" i="1"/>
  <c r="F183" i="1"/>
  <c r="T182" i="1"/>
  <c r="U182" i="1" s="1"/>
  <c r="G182" i="1"/>
  <c r="F182" i="1" s="1"/>
  <c r="E182" i="1"/>
  <c r="T181" i="1"/>
  <c r="G181" i="1"/>
  <c r="E181" i="1"/>
  <c r="T180" i="1"/>
  <c r="U180" i="1" s="1"/>
  <c r="G180" i="1"/>
  <c r="AI180" i="1" s="1"/>
  <c r="F180" i="1"/>
  <c r="E180" i="1"/>
  <c r="U179" i="1"/>
  <c r="T179" i="1"/>
  <c r="G179" i="1"/>
  <c r="F179" i="1"/>
  <c r="S178" i="1"/>
  <c r="T178" i="1" s="1"/>
  <c r="S177" i="1"/>
  <c r="T177" i="1" s="1"/>
  <c r="G177" i="1"/>
  <c r="U177" i="1" s="1"/>
  <c r="F177" i="1"/>
  <c r="T176" i="1"/>
  <c r="U176" i="1" s="1"/>
  <c r="G176" i="1"/>
  <c r="E176" i="1"/>
  <c r="AI175" i="1"/>
  <c r="T175" i="1"/>
  <c r="U175" i="1" s="1"/>
  <c r="G175" i="1"/>
  <c r="F175" i="1"/>
  <c r="S174" i="1"/>
  <c r="Q174" i="1"/>
  <c r="M174" i="1"/>
  <c r="K174" i="1"/>
  <c r="J174" i="1"/>
  <c r="I174" i="1"/>
  <c r="H174" i="1"/>
  <c r="G173" i="1"/>
  <c r="F173" i="1" s="1"/>
  <c r="G172" i="1"/>
  <c r="F172" i="1"/>
  <c r="G171" i="1"/>
  <c r="G167" i="1" s="1"/>
  <c r="F171" i="1"/>
  <c r="G170" i="1"/>
  <c r="F170" i="1"/>
  <c r="G169" i="1"/>
  <c r="F169" i="1" s="1"/>
  <c r="T168" i="1"/>
  <c r="G168" i="1"/>
  <c r="F168" i="1"/>
  <c r="E168" i="1"/>
  <c r="S167" i="1"/>
  <c r="R167" i="1"/>
  <c r="Q167" i="1"/>
  <c r="P167" i="1"/>
  <c r="O167" i="1"/>
  <c r="N167" i="1"/>
  <c r="M167" i="1"/>
  <c r="L167" i="1"/>
  <c r="T167" i="1" s="1"/>
  <c r="U167" i="1" s="1"/>
  <c r="K167" i="1"/>
  <c r="J167" i="1"/>
  <c r="I167" i="1"/>
  <c r="H167" i="1"/>
  <c r="E167" i="1"/>
  <c r="AI166" i="1"/>
  <c r="U166" i="1"/>
  <c r="T166" i="1"/>
  <c r="G166" i="1"/>
  <c r="F166" i="1"/>
  <c r="E166" i="1" s="1"/>
  <c r="S165" i="1"/>
  <c r="R165" i="1"/>
  <c r="R151" i="1" s="1"/>
  <c r="Q165" i="1"/>
  <c r="P165" i="1"/>
  <c r="O165" i="1"/>
  <c r="N165" i="1"/>
  <c r="M165" i="1"/>
  <c r="L165" i="1"/>
  <c r="K165" i="1"/>
  <c r="J165" i="1"/>
  <c r="T165" i="1" s="1"/>
  <c r="U165" i="1" s="1"/>
  <c r="I165" i="1"/>
  <c r="H165" i="1"/>
  <c r="G165" i="1"/>
  <c r="T164" i="1"/>
  <c r="U164" i="1" s="1"/>
  <c r="G164" i="1"/>
  <c r="F164" i="1"/>
  <c r="E164" i="1" s="1"/>
  <c r="Q163" i="1"/>
  <c r="Q160" i="1" s="1"/>
  <c r="O163" i="1"/>
  <c r="T163" i="1" s="1"/>
  <c r="T162" i="1"/>
  <c r="U162" i="1" s="1"/>
  <c r="G162" i="1"/>
  <c r="AI162" i="1" s="1"/>
  <c r="F162" i="1"/>
  <c r="E162" i="1" s="1"/>
  <c r="T161" i="1"/>
  <c r="G161" i="1"/>
  <c r="F161" i="1"/>
  <c r="E161" i="1" s="1"/>
  <c r="S160" i="1"/>
  <c r="R160" i="1"/>
  <c r="P160" i="1"/>
  <c r="O160" i="1"/>
  <c r="O151" i="1" s="1"/>
  <c r="N160" i="1"/>
  <c r="M160" i="1"/>
  <c r="L160" i="1"/>
  <c r="L151" i="1" s="1"/>
  <c r="K160" i="1"/>
  <c r="T160" i="1" s="1"/>
  <c r="J160" i="1"/>
  <c r="I160" i="1"/>
  <c r="H160" i="1"/>
  <c r="T159" i="1"/>
  <c r="G159" i="1"/>
  <c r="F159" i="1" s="1"/>
  <c r="E159" i="1" s="1"/>
  <c r="S158" i="1"/>
  <c r="R158" i="1"/>
  <c r="Q158" i="1"/>
  <c r="P158" i="1"/>
  <c r="O158" i="1"/>
  <c r="N158" i="1"/>
  <c r="M158" i="1"/>
  <c r="L158" i="1"/>
  <c r="K158" i="1"/>
  <c r="J158" i="1"/>
  <c r="I158" i="1"/>
  <c r="H158" i="1"/>
  <c r="G158" i="1"/>
  <c r="E158" i="1" s="1"/>
  <c r="G157" i="1"/>
  <c r="U156" i="1"/>
  <c r="T156" i="1"/>
  <c r="G156" i="1"/>
  <c r="F156" i="1" s="1"/>
  <c r="E156" i="1" s="1"/>
  <c r="T155" i="1"/>
  <c r="G155" i="1"/>
  <c r="F155" i="1"/>
  <c r="E155" i="1" s="1"/>
  <c r="U154" i="1"/>
  <c r="T154" i="1"/>
  <c r="G154" i="1"/>
  <c r="F154" i="1"/>
  <c r="E154" i="1" s="1"/>
  <c r="AI153" i="1"/>
  <c r="U153" i="1"/>
  <c r="T153" i="1"/>
  <c r="G153" i="1"/>
  <c r="F153" i="1"/>
  <c r="E153" i="1" s="1"/>
  <c r="S152" i="1"/>
  <c r="S151" i="1" s="1"/>
  <c r="R152" i="1"/>
  <c r="Q152" i="1"/>
  <c r="Q151" i="1" s="1"/>
  <c r="P152" i="1"/>
  <c r="P151" i="1" s="1"/>
  <c r="O152" i="1"/>
  <c r="N152" i="1"/>
  <c r="N151" i="1" s="1"/>
  <c r="M152" i="1"/>
  <c r="L152" i="1"/>
  <c r="K152" i="1"/>
  <c r="J152" i="1"/>
  <c r="I152" i="1"/>
  <c r="H152" i="1"/>
  <c r="T152" i="1" s="1"/>
  <c r="M151" i="1"/>
  <c r="K151" i="1"/>
  <c r="I151" i="1"/>
  <c r="I110" i="1" s="1"/>
  <c r="I109" i="1" s="1"/>
  <c r="T150" i="1"/>
  <c r="G150" i="1"/>
  <c r="U149" i="1"/>
  <c r="T149" i="1"/>
  <c r="G149" i="1"/>
  <c r="AI148" i="1"/>
  <c r="AA148" i="1"/>
  <c r="T148" i="1"/>
  <c r="U148" i="1" s="1"/>
  <c r="G148" i="1"/>
  <c r="F148" i="1"/>
  <c r="E148" i="1"/>
  <c r="S147" i="1"/>
  <c r="R147" i="1"/>
  <c r="Q147" i="1"/>
  <c r="P147" i="1"/>
  <c r="O147" i="1"/>
  <c r="N147" i="1"/>
  <c r="M147" i="1"/>
  <c r="L147" i="1"/>
  <c r="K147" i="1"/>
  <c r="J147" i="1"/>
  <c r="I147" i="1"/>
  <c r="H147" i="1"/>
  <c r="T146" i="1"/>
  <c r="U146" i="1" s="1"/>
  <c r="G146" i="1"/>
  <c r="F146" i="1"/>
  <c r="E146" i="1"/>
  <c r="AA145" i="1"/>
  <c r="U145" i="1"/>
  <c r="T145" i="1"/>
  <c r="G145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T143" i="1"/>
  <c r="G143" i="1"/>
  <c r="U143" i="1" s="1"/>
  <c r="AI142" i="1"/>
  <c r="T142" i="1"/>
  <c r="U142" i="1" s="1"/>
  <c r="G142" i="1"/>
  <c r="S141" i="1"/>
  <c r="R141" i="1"/>
  <c r="Q141" i="1"/>
  <c r="P141" i="1"/>
  <c r="O141" i="1"/>
  <c r="N141" i="1"/>
  <c r="M141" i="1"/>
  <c r="L141" i="1"/>
  <c r="K141" i="1"/>
  <c r="J141" i="1"/>
  <c r="I141" i="1"/>
  <c r="H141" i="1"/>
  <c r="T141" i="1" s="1"/>
  <c r="AI140" i="1"/>
  <c r="T140" i="1"/>
  <c r="U140" i="1" s="1"/>
  <c r="G140" i="1"/>
  <c r="F140" i="1"/>
  <c r="E140" i="1"/>
  <c r="G139" i="1"/>
  <c r="AI138" i="1"/>
  <c r="U138" i="1"/>
  <c r="T138" i="1"/>
  <c r="G138" i="1"/>
  <c r="F138" i="1" s="1"/>
  <c r="E138" i="1"/>
  <c r="T137" i="1"/>
  <c r="G137" i="1"/>
  <c r="T136" i="1"/>
  <c r="U136" i="1" s="1"/>
  <c r="G136" i="1"/>
  <c r="F136" i="1"/>
  <c r="E136" i="1" s="1"/>
  <c r="AI135" i="1"/>
  <c r="T135" i="1"/>
  <c r="U135" i="1" s="1"/>
  <c r="G135" i="1"/>
  <c r="F135" i="1"/>
  <c r="E135" i="1" s="1"/>
  <c r="U134" i="1"/>
  <c r="T134" i="1"/>
  <c r="G134" i="1"/>
  <c r="F134" i="1"/>
  <c r="E134" i="1"/>
  <c r="T133" i="1"/>
  <c r="U133" i="1" s="1"/>
  <c r="G133" i="1"/>
  <c r="AI133" i="1" s="1"/>
  <c r="AI132" i="1"/>
  <c r="AA132" i="1"/>
  <c r="T132" i="1"/>
  <c r="U132" i="1" s="1"/>
  <c r="G132" i="1"/>
  <c r="F132" i="1"/>
  <c r="E132" i="1" s="1"/>
  <c r="T131" i="1"/>
  <c r="U131" i="1" s="1"/>
  <c r="O131" i="1"/>
  <c r="G131" i="1" s="1"/>
  <c r="F131" i="1"/>
  <c r="E131" i="1"/>
  <c r="T130" i="1"/>
  <c r="G130" i="1"/>
  <c r="F130" i="1" s="1"/>
  <c r="E130" i="1" s="1"/>
  <c r="T129" i="1"/>
  <c r="U129" i="1" s="1"/>
  <c r="G129" i="1"/>
  <c r="T128" i="1"/>
  <c r="U128" i="1" s="1"/>
  <c r="G128" i="1"/>
  <c r="AI127" i="1"/>
  <c r="T127" i="1"/>
  <c r="U127" i="1" s="1"/>
  <c r="G127" i="1"/>
  <c r="F127" i="1"/>
  <c r="E127" i="1"/>
  <c r="U126" i="1"/>
  <c r="T126" i="1"/>
  <c r="G126" i="1"/>
  <c r="F126" i="1" s="1"/>
  <c r="E126" i="1" s="1"/>
  <c r="T125" i="1"/>
  <c r="G125" i="1"/>
  <c r="AI124" i="1"/>
  <c r="AA124" i="1"/>
  <c r="U124" i="1"/>
  <c r="T124" i="1"/>
  <c r="G124" i="1"/>
  <c r="F124" i="1"/>
  <c r="E124" i="1" s="1"/>
  <c r="T123" i="1"/>
  <c r="U123" i="1" s="1"/>
  <c r="G123" i="1"/>
  <c r="G122" i="1"/>
  <c r="U121" i="1"/>
  <c r="T121" i="1"/>
  <c r="G121" i="1"/>
  <c r="T120" i="1"/>
  <c r="G120" i="1"/>
  <c r="F120" i="1"/>
  <c r="E120" i="1"/>
  <c r="AI119" i="1"/>
  <c r="U119" i="1"/>
  <c r="T119" i="1"/>
  <c r="G119" i="1"/>
  <c r="F119" i="1"/>
  <c r="E119" i="1"/>
  <c r="S118" i="1"/>
  <c r="R118" i="1"/>
  <c r="Q118" i="1"/>
  <c r="P118" i="1"/>
  <c r="O118" i="1"/>
  <c r="N118" i="1"/>
  <c r="M118" i="1"/>
  <c r="L118" i="1"/>
  <c r="T118" i="1" s="1"/>
  <c r="K118" i="1"/>
  <c r="J118" i="1"/>
  <c r="I118" i="1"/>
  <c r="H118" i="1"/>
  <c r="AI117" i="1"/>
  <c r="AG117" i="1"/>
  <c r="AA117" i="1"/>
  <c r="U117" i="1"/>
  <c r="T117" i="1"/>
  <c r="G117" i="1"/>
  <c r="F117" i="1"/>
  <c r="E117" i="1"/>
  <c r="Z116" i="1"/>
  <c r="AA116" i="1" s="1"/>
  <c r="S116" i="1"/>
  <c r="R116" i="1"/>
  <c r="Q116" i="1"/>
  <c r="Q111" i="1" s="1"/>
  <c r="P116" i="1"/>
  <c r="P111" i="1" s="1"/>
  <c r="P110" i="1" s="1"/>
  <c r="O116" i="1"/>
  <c r="N116" i="1"/>
  <c r="N111" i="1" s="1"/>
  <c r="M116" i="1"/>
  <c r="L116" i="1"/>
  <c r="K116" i="1"/>
  <c r="J116" i="1"/>
  <c r="I116" i="1"/>
  <c r="I111" i="1" s="1"/>
  <c r="H116" i="1"/>
  <c r="G116" i="1"/>
  <c r="E116" i="1" s="1"/>
  <c r="U115" i="1"/>
  <c r="T115" i="1"/>
  <c r="G115" i="1"/>
  <c r="T114" i="1"/>
  <c r="G114" i="1"/>
  <c r="G112" i="1" s="1"/>
  <c r="AI113" i="1"/>
  <c r="AA113" i="1"/>
  <c r="U113" i="1"/>
  <c r="T113" i="1"/>
  <c r="G113" i="1"/>
  <c r="F113" i="1" s="1"/>
  <c r="E113" i="1" s="1"/>
  <c r="Z112" i="1"/>
  <c r="S112" i="1"/>
  <c r="S111" i="1" s="1"/>
  <c r="R112" i="1"/>
  <c r="R111" i="1" s="1"/>
  <c r="R110" i="1" s="1"/>
  <c r="Q112" i="1"/>
  <c r="P112" i="1"/>
  <c r="O112" i="1"/>
  <c r="N112" i="1"/>
  <c r="M112" i="1"/>
  <c r="L112" i="1"/>
  <c r="L111" i="1" s="1"/>
  <c r="K112" i="1"/>
  <c r="J112" i="1"/>
  <c r="T112" i="1" s="1"/>
  <c r="U112" i="1" s="1"/>
  <c r="I112" i="1"/>
  <c r="H112" i="1"/>
  <c r="Z111" i="1"/>
  <c r="Z107" i="1" s="1"/>
  <c r="M111" i="1"/>
  <c r="K111" i="1"/>
  <c r="J111" i="1"/>
  <c r="S110" i="1"/>
  <c r="T108" i="1"/>
  <c r="G108" i="1"/>
  <c r="G107" i="1" s="1"/>
  <c r="E107" i="1" s="1"/>
  <c r="F108" i="1"/>
  <c r="E108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T107" i="1" s="1"/>
  <c r="AG106" i="1"/>
  <c r="T106" i="1"/>
  <c r="G106" i="1"/>
  <c r="G104" i="1" s="1"/>
  <c r="AI105" i="1"/>
  <c r="U105" i="1"/>
  <c r="T105" i="1"/>
  <c r="G105" i="1"/>
  <c r="AA105" i="1" s="1"/>
  <c r="F105" i="1"/>
  <c r="E105" i="1"/>
  <c r="Z104" i="1"/>
  <c r="S104" i="1"/>
  <c r="R104" i="1"/>
  <c r="Q104" i="1"/>
  <c r="P104" i="1"/>
  <c r="O104" i="1"/>
  <c r="O96" i="1" s="1"/>
  <c r="O95" i="1" s="1"/>
  <c r="O94" i="1" s="1"/>
  <c r="N104" i="1"/>
  <c r="M104" i="1"/>
  <c r="L104" i="1"/>
  <c r="K104" i="1"/>
  <c r="J104" i="1"/>
  <c r="I104" i="1"/>
  <c r="H104" i="1"/>
  <c r="AI103" i="1"/>
  <c r="AG103" i="1"/>
  <c r="AA103" i="1"/>
  <c r="U103" i="1"/>
  <c r="T103" i="1"/>
  <c r="G103" i="1"/>
  <c r="F103" i="1"/>
  <c r="E103" i="1"/>
  <c r="AI102" i="1"/>
  <c r="AG102" i="1"/>
  <c r="AA102" i="1"/>
  <c r="U102" i="1"/>
  <c r="T102" i="1"/>
  <c r="G102" i="1"/>
  <c r="F102" i="1"/>
  <c r="E102" i="1"/>
  <c r="AI101" i="1"/>
  <c r="AG101" i="1"/>
  <c r="AA101" i="1"/>
  <c r="U101" i="1"/>
  <c r="T101" i="1"/>
  <c r="G101" i="1"/>
  <c r="F101" i="1"/>
  <c r="E101" i="1"/>
  <c r="AI100" i="1"/>
  <c r="AG100" i="1"/>
  <c r="U100" i="1"/>
  <c r="T100" i="1"/>
  <c r="G100" i="1"/>
  <c r="F100" i="1"/>
  <c r="E100" i="1"/>
  <c r="AI99" i="1"/>
  <c r="U99" i="1"/>
  <c r="T99" i="1"/>
  <c r="G99" i="1"/>
  <c r="F99" i="1" s="1"/>
  <c r="E99" i="1" s="1"/>
  <c r="T98" i="1"/>
  <c r="G98" i="1"/>
  <c r="S97" i="1"/>
  <c r="R97" i="1"/>
  <c r="R96" i="1" s="1"/>
  <c r="Q97" i="1"/>
  <c r="P97" i="1"/>
  <c r="P96" i="1" s="1"/>
  <c r="P95" i="1" s="1"/>
  <c r="O97" i="1"/>
  <c r="N97" i="1"/>
  <c r="N96" i="1" s="1"/>
  <c r="N95" i="1" s="1"/>
  <c r="N94" i="1" s="1"/>
  <c r="M97" i="1"/>
  <c r="M96" i="1" s="1"/>
  <c r="M95" i="1" s="1"/>
  <c r="M94" i="1" s="1"/>
  <c r="L97" i="1"/>
  <c r="K97" i="1"/>
  <c r="J97" i="1"/>
  <c r="I97" i="1"/>
  <c r="I96" i="1" s="1"/>
  <c r="H97" i="1"/>
  <c r="S96" i="1"/>
  <c r="Q96" i="1"/>
  <c r="L96" i="1"/>
  <c r="L95" i="1" s="1"/>
  <c r="L94" i="1" s="1"/>
  <c r="K96" i="1"/>
  <c r="K95" i="1" s="1"/>
  <c r="J96" i="1"/>
  <c r="J95" i="1" s="1"/>
  <c r="S95" i="1"/>
  <c r="S94" i="1" s="1"/>
  <c r="R95" i="1"/>
  <c r="R94" i="1" s="1"/>
  <c r="Q95" i="1"/>
  <c r="I95" i="1"/>
  <c r="K94" i="1"/>
  <c r="J94" i="1"/>
  <c r="T93" i="1"/>
  <c r="G93" i="1"/>
  <c r="F93" i="1"/>
  <c r="E93" i="1" s="1"/>
  <c r="Z92" i="1"/>
  <c r="S92" i="1"/>
  <c r="R92" i="1"/>
  <c r="R91" i="1" s="1"/>
  <c r="Q92" i="1"/>
  <c r="Q91" i="1" s="1"/>
  <c r="Q90" i="1" s="1"/>
  <c r="P92" i="1"/>
  <c r="O92" i="1"/>
  <c r="O91" i="1" s="1"/>
  <c r="N92" i="1"/>
  <c r="N91" i="1" s="1"/>
  <c r="N90" i="1" s="1"/>
  <c r="M92" i="1"/>
  <c r="M91" i="1" s="1"/>
  <c r="M90" i="1" s="1"/>
  <c r="L92" i="1"/>
  <c r="K92" i="1"/>
  <c r="J92" i="1"/>
  <c r="J91" i="1" s="1"/>
  <c r="J90" i="1" s="1"/>
  <c r="I92" i="1"/>
  <c r="H92" i="1"/>
  <c r="Z91" i="1"/>
  <c r="S91" i="1"/>
  <c r="S90" i="1" s="1"/>
  <c r="P91" i="1"/>
  <c r="L91" i="1"/>
  <c r="L90" i="1" s="1"/>
  <c r="K91" i="1"/>
  <c r="H91" i="1"/>
  <c r="Z90" i="1"/>
  <c r="R90" i="1"/>
  <c r="P90" i="1"/>
  <c r="O90" i="1"/>
  <c r="K90" i="1"/>
  <c r="U89" i="1"/>
  <c r="T89" i="1"/>
  <c r="G89" i="1"/>
  <c r="F89" i="1"/>
  <c r="E89" i="1" s="1"/>
  <c r="T88" i="1"/>
  <c r="U88" i="1" s="1"/>
  <c r="G88" i="1"/>
  <c r="F88" i="1"/>
  <c r="E88" i="1" s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E87" i="1" s="1"/>
  <c r="U86" i="1"/>
  <c r="T86" i="1"/>
  <c r="G86" i="1"/>
  <c r="F86" i="1" s="1"/>
  <c r="T85" i="1"/>
  <c r="G85" i="1"/>
  <c r="F85" i="1" s="1"/>
  <c r="P84" i="1"/>
  <c r="O84" i="1"/>
  <c r="N84" i="1"/>
  <c r="M84" i="1"/>
  <c r="M78" i="1" s="1"/>
  <c r="L84" i="1"/>
  <c r="K84" i="1"/>
  <c r="J84" i="1"/>
  <c r="I84" i="1"/>
  <c r="T84" i="1" s="1"/>
  <c r="H84" i="1"/>
  <c r="T83" i="1"/>
  <c r="G83" i="1"/>
  <c r="F83" i="1"/>
  <c r="E83" i="1" s="1"/>
  <c r="U82" i="1"/>
  <c r="T82" i="1"/>
  <c r="G82" i="1"/>
  <c r="F82" i="1"/>
  <c r="E82" i="1" s="1"/>
  <c r="U81" i="1"/>
  <c r="T81" i="1"/>
  <c r="G81" i="1"/>
  <c r="Z80" i="1"/>
  <c r="S80" i="1"/>
  <c r="S79" i="1" s="1"/>
  <c r="S78" i="1" s="1"/>
  <c r="R80" i="1"/>
  <c r="Q80" i="1"/>
  <c r="R79" i="1"/>
  <c r="R78" i="1" s="1"/>
  <c r="Q79" i="1"/>
  <c r="Q78" i="1" s="1"/>
  <c r="P79" i="1"/>
  <c r="O79" i="1"/>
  <c r="N79" i="1"/>
  <c r="M79" i="1"/>
  <c r="L79" i="1"/>
  <c r="K79" i="1"/>
  <c r="J79" i="1"/>
  <c r="J78" i="1" s="1"/>
  <c r="I79" i="1"/>
  <c r="H79" i="1"/>
  <c r="P78" i="1"/>
  <c r="N78" i="1"/>
  <c r="L78" i="1"/>
  <c r="K78" i="1"/>
  <c r="T77" i="1"/>
  <c r="G77" i="1"/>
  <c r="G76" i="1" s="1"/>
  <c r="F77" i="1"/>
  <c r="E77" i="1" s="1"/>
  <c r="S76" i="1"/>
  <c r="R76" i="1"/>
  <c r="Q76" i="1"/>
  <c r="P76" i="1"/>
  <c r="P75" i="1" s="1"/>
  <c r="P74" i="1" s="1"/>
  <c r="O76" i="1"/>
  <c r="N76" i="1"/>
  <c r="M76" i="1"/>
  <c r="L76" i="1"/>
  <c r="K76" i="1"/>
  <c r="J76" i="1"/>
  <c r="I76" i="1"/>
  <c r="H76" i="1"/>
  <c r="T76" i="1" s="1"/>
  <c r="S75" i="1"/>
  <c r="R75" i="1"/>
  <c r="Q75" i="1"/>
  <c r="Q74" i="1" s="1"/>
  <c r="Q66" i="1" s="1"/>
  <c r="O75" i="1"/>
  <c r="N75" i="1"/>
  <c r="M75" i="1"/>
  <c r="L75" i="1"/>
  <c r="K75" i="1"/>
  <c r="J75" i="1"/>
  <c r="I75" i="1"/>
  <c r="I74" i="1" s="1"/>
  <c r="I66" i="1" s="1"/>
  <c r="S74" i="1"/>
  <c r="S66" i="1" s="1"/>
  <c r="R74" i="1"/>
  <c r="O74" i="1"/>
  <c r="O66" i="1" s="1"/>
  <c r="N74" i="1"/>
  <c r="M74" i="1"/>
  <c r="L74" i="1"/>
  <c r="K74" i="1"/>
  <c r="K66" i="1" s="1"/>
  <c r="J74" i="1"/>
  <c r="AI73" i="1"/>
  <c r="U73" i="1"/>
  <c r="T73" i="1"/>
  <c r="G73" i="1"/>
  <c r="F73" i="1"/>
  <c r="E73" i="1" s="1"/>
  <c r="AI72" i="1"/>
  <c r="AA72" i="1"/>
  <c r="T72" i="1"/>
  <c r="U72" i="1" s="1"/>
  <c r="G72" i="1"/>
  <c r="F72" i="1" s="1"/>
  <c r="E72" i="1" s="1"/>
  <c r="T71" i="1"/>
  <c r="U71" i="1" s="1"/>
  <c r="G71" i="1"/>
  <c r="T70" i="1"/>
  <c r="G70" i="1"/>
  <c r="AI70" i="1" s="1"/>
  <c r="F70" i="1"/>
  <c r="E70" i="1"/>
  <c r="AI69" i="1"/>
  <c r="AG69" i="1"/>
  <c r="AA69" i="1"/>
  <c r="T69" i="1"/>
  <c r="U69" i="1" s="1"/>
  <c r="G69" i="1"/>
  <c r="F69" i="1"/>
  <c r="E69" i="1"/>
  <c r="AI68" i="1"/>
  <c r="AG68" i="1"/>
  <c r="U68" i="1"/>
  <c r="T68" i="1"/>
  <c r="G68" i="1"/>
  <c r="F68" i="1" s="1"/>
  <c r="E68" i="1" s="1"/>
  <c r="S67" i="1"/>
  <c r="R67" i="1"/>
  <c r="Q67" i="1"/>
  <c r="P67" i="1"/>
  <c r="O67" i="1"/>
  <c r="N67" i="1"/>
  <c r="N66" i="1" s="1"/>
  <c r="M67" i="1"/>
  <c r="M66" i="1" s="1"/>
  <c r="L67" i="1"/>
  <c r="L66" i="1" s="1"/>
  <c r="K67" i="1"/>
  <c r="J67" i="1"/>
  <c r="I67" i="1"/>
  <c r="H67" i="1"/>
  <c r="R66" i="1"/>
  <c r="J66" i="1"/>
  <c r="G64" i="1"/>
  <c r="G63" i="1"/>
  <c r="G62" i="1"/>
  <c r="G61" i="1"/>
  <c r="G60" i="1"/>
  <c r="G59" i="1"/>
  <c r="G58" i="1"/>
  <c r="G57" i="1"/>
  <c r="G56" i="1"/>
  <c r="G55" i="1"/>
  <c r="AG54" i="1"/>
  <c r="T54" i="1"/>
  <c r="U54" i="1" s="1"/>
  <c r="G54" i="1"/>
  <c r="S53" i="1"/>
  <c r="R53" i="1"/>
  <c r="Q53" i="1"/>
  <c r="P53" i="1"/>
  <c r="P52" i="1" s="1"/>
  <c r="O53" i="1"/>
  <c r="O52" i="1" s="1"/>
  <c r="N53" i="1"/>
  <c r="M53" i="1"/>
  <c r="M52" i="1" s="1"/>
  <c r="L53" i="1"/>
  <c r="K53" i="1"/>
  <c r="J53" i="1"/>
  <c r="I53" i="1"/>
  <c r="H53" i="1"/>
  <c r="G53" i="1"/>
  <c r="S52" i="1"/>
  <c r="R52" i="1"/>
  <c r="Q52" i="1"/>
  <c r="N52" i="1"/>
  <c r="L52" i="1"/>
  <c r="K52" i="1"/>
  <c r="J52" i="1"/>
  <c r="I52" i="1"/>
  <c r="T51" i="1"/>
  <c r="G51" i="1"/>
  <c r="G50" i="1" s="1"/>
  <c r="E51" i="1"/>
  <c r="S50" i="1"/>
  <c r="R50" i="1"/>
  <c r="Q50" i="1"/>
  <c r="P50" i="1"/>
  <c r="O50" i="1"/>
  <c r="N50" i="1"/>
  <c r="M50" i="1"/>
  <c r="L50" i="1"/>
  <c r="K50" i="1"/>
  <c r="J50" i="1"/>
  <c r="I50" i="1"/>
  <c r="H50" i="1"/>
  <c r="T50" i="1" s="1"/>
  <c r="AI49" i="1"/>
  <c r="AH49" i="1"/>
  <c r="T49" i="1"/>
  <c r="U49" i="1" s="1"/>
  <c r="G49" i="1"/>
  <c r="F49" i="1"/>
  <c r="E49" i="1"/>
  <c r="S48" i="1"/>
  <c r="R48" i="1"/>
  <c r="Q48" i="1"/>
  <c r="P48" i="1"/>
  <c r="O48" i="1"/>
  <c r="N48" i="1"/>
  <c r="M48" i="1"/>
  <c r="L48" i="1"/>
  <c r="T48" i="1" s="1"/>
  <c r="U48" i="1" s="1"/>
  <c r="K48" i="1"/>
  <c r="J48" i="1"/>
  <c r="I48" i="1"/>
  <c r="H48" i="1"/>
  <c r="G48" i="1"/>
  <c r="E48" i="1"/>
  <c r="AI47" i="1"/>
  <c r="AA47" i="1"/>
  <c r="U47" i="1"/>
  <c r="T47" i="1"/>
  <c r="G47" i="1"/>
  <c r="F47" i="1" s="1"/>
  <c r="E47" i="1" s="1"/>
  <c r="AH46" i="1"/>
  <c r="AA46" i="1"/>
  <c r="U46" i="1"/>
  <c r="T46" i="1"/>
  <c r="G46" i="1"/>
  <c r="F46" i="1" s="1"/>
  <c r="E46" i="1" s="1"/>
  <c r="T45" i="1"/>
  <c r="U45" i="1" s="1"/>
  <c r="G45" i="1"/>
  <c r="F45" i="1"/>
  <c r="E45" i="1"/>
  <c r="AI44" i="1"/>
  <c r="AH44" i="1"/>
  <c r="U44" i="1"/>
  <c r="T44" i="1"/>
  <c r="G44" i="1"/>
  <c r="F44" i="1" s="1"/>
  <c r="E44" i="1" s="1"/>
  <c r="AI43" i="1"/>
  <c r="AH43" i="1"/>
  <c r="T43" i="1"/>
  <c r="U43" i="1" s="1"/>
  <c r="G43" i="1"/>
  <c r="F43" i="1" s="1"/>
  <c r="E43" i="1" s="1"/>
  <c r="S42" i="1"/>
  <c r="R42" i="1"/>
  <c r="Q42" i="1"/>
  <c r="P42" i="1"/>
  <c r="O42" i="1"/>
  <c r="N42" i="1"/>
  <c r="M42" i="1"/>
  <c r="L42" i="1"/>
  <c r="K42" i="1"/>
  <c r="J42" i="1"/>
  <c r="I42" i="1"/>
  <c r="T42" i="1" s="1"/>
  <c r="H42" i="1"/>
  <c r="T41" i="1"/>
  <c r="U41" i="1" s="1"/>
  <c r="G41" i="1"/>
  <c r="F41" i="1"/>
  <c r="E41" i="1"/>
  <c r="AH40" i="1"/>
  <c r="AH42" i="1" s="1"/>
  <c r="T40" i="1"/>
  <c r="U40" i="1" s="1"/>
  <c r="G40" i="1"/>
  <c r="AI39" i="1"/>
  <c r="AH39" i="1"/>
  <c r="T39" i="1"/>
  <c r="U39" i="1" s="1"/>
  <c r="G39" i="1"/>
  <c r="F39" i="1" s="1"/>
  <c r="E39" i="1" s="1"/>
  <c r="AH38" i="1"/>
  <c r="T38" i="1"/>
  <c r="U38" i="1" s="1"/>
  <c r="I38" i="1"/>
  <c r="G38" i="1"/>
  <c r="S37" i="1"/>
  <c r="R37" i="1"/>
  <c r="Q37" i="1"/>
  <c r="P37" i="1"/>
  <c r="O37" i="1"/>
  <c r="O30" i="1" s="1"/>
  <c r="N37" i="1"/>
  <c r="M37" i="1"/>
  <c r="L37" i="1"/>
  <c r="K37" i="1"/>
  <c r="J37" i="1"/>
  <c r="I37" i="1"/>
  <c r="H37" i="1"/>
  <c r="G37" i="1"/>
  <c r="E37" i="1" s="1"/>
  <c r="AI36" i="1"/>
  <c r="T36" i="1"/>
  <c r="U36" i="1" s="1"/>
  <c r="G36" i="1"/>
  <c r="F36" i="1"/>
  <c r="E36" i="1"/>
  <c r="S35" i="1"/>
  <c r="R35" i="1"/>
  <c r="R30" i="1" s="1"/>
  <c r="Q35" i="1"/>
  <c r="P35" i="1"/>
  <c r="P30" i="1" s="1"/>
  <c r="O35" i="1"/>
  <c r="N35" i="1"/>
  <c r="M35" i="1"/>
  <c r="L35" i="1"/>
  <c r="K35" i="1"/>
  <c r="J35" i="1"/>
  <c r="J30" i="1" s="1"/>
  <c r="I35" i="1"/>
  <c r="H35" i="1"/>
  <c r="G35" i="1"/>
  <c r="T34" i="1"/>
  <c r="G34" i="1"/>
  <c r="U34" i="1" s="1"/>
  <c r="F34" i="1"/>
  <c r="E34" i="1" s="1"/>
  <c r="T33" i="1"/>
  <c r="G33" i="1"/>
  <c r="AI33" i="1" s="1"/>
  <c r="S32" i="1"/>
  <c r="R32" i="1"/>
  <c r="Q32" i="1"/>
  <c r="P32" i="1"/>
  <c r="O32" i="1"/>
  <c r="N32" i="1"/>
  <c r="N30" i="1" s="1"/>
  <c r="N17" i="1" s="1"/>
  <c r="M32" i="1"/>
  <c r="M30" i="1" s="1"/>
  <c r="M17" i="1" s="1"/>
  <c r="L32" i="1"/>
  <c r="T32" i="1" s="1"/>
  <c r="K32" i="1"/>
  <c r="J32" i="1"/>
  <c r="I32" i="1"/>
  <c r="I30" i="1" s="1"/>
  <c r="H32" i="1"/>
  <c r="T31" i="1"/>
  <c r="U31" i="1" s="1"/>
  <c r="E31" i="1"/>
  <c r="L30" i="1"/>
  <c r="AI29" i="1"/>
  <c r="T29" i="1"/>
  <c r="U29" i="1" s="1"/>
  <c r="G29" i="1"/>
  <c r="T28" i="1"/>
  <c r="G28" i="1"/>
  <c r="F28" i="1"/>
  <c r="E28" i="1"/>
  <c r="AA27" i="1"/>
  <c r="U27" i="1"/>
  <c r="T27" i="1"/>
  <c r="G27" i="1"/>
  <c r="AI27" i="1" s="1"/>
  <c r="F27" i="1"/>
  <c r="E27" i="1"/>
  <c r="AI26" i="1"/>
  <c r="AA26" i="1"/>
  <c r="U26" i="1"/>
  <c r="T26" i="1"/>
  <c r="G26" i="1"/>
  <c r="F26" i="1"/>
  <c r="E26" i="1"/>
  <c r="AI25" i="1"/>
  <c r="AA25" i="1"/>
  <c r="T25" i="1"/>
  <c r="U25" i="1" s="1"/>
  <c r="G25" i="1"/>
  <c r="F25" i="1" s="1"/>
  <c r="E25" i="1" s="1"/>
  <c r="AI24" i="1"/>
  <c r="AA24" i="1"/>
  <c r="T24" i="1"/>
  <c r="U24" i="1" s="1"/>
  <c r="G24" i="1"/>
  <c r="F24" i="1"/>
  <c r="E24" i="1" s="1"/>
  <c r="AI23" i="1"/>
  <c r="T23" i="1"/>
  <c r="U23" i="1" s="1"/>
  <c r="G23" i="1"/>
  <c r="F23" i="1"/>
  <c r="E23" i="1"/>
  <c r="T22" i="1"/>
  <c r="U22" i="1" s="1"/>
  <c r="G22" i="1"/>
  <c r="F22" i="1" s="1"/>
  <c r="E22" i="1" s="1"/>
  <c r="T21" i="1"/>
  <c r="G21" i="1"/>
  <c r="F21" i="1"/>
  <c r="E21" i="1" s="1"/>
  <c r="AI20" i="1"/>
  <c r="AA20" i="1"/>
  <c r="U20" i="1"/>
  <c r="T20" i="1"/>
  <c r="G20" i="1"/>
  <c r="F20" i="1"/>
  <c r="AI19" i="1"/>
  <c r="AA19" i="1"/>
  <c r="T19" i="1"/>
  <c r="U19" i="1" s="1"/>
  <c r="G19" i="1"/>
  <c r="F19" i="1" s="1"/>
  <c r="S18" i="1"/>
  <c r="R18" i="1"/>
  <c r="R17" i="1" s="1"/>
  <c r="Q18" i="1"/>
  <c r="P18" i="1"/>
  <c r="O18" i="1"/>
  <c r="N18" i="1"/>
  <c r="M18" i="1"/>
  <c r="L18" i="1"/>
  <c r="K18" i="1"/>
  <c r="J18" i="1"/>
  <c r="J17" i="1" s="1"/>
  <c r="I18" i="1"/>
  <c r="H18" i="1"/>
  <c r="U12" i="1"/>
  <c r="T12" i="1"/>
  <c r="U11" i="1"/>
  <c r="T11" i="1"/>
  <c r="U10" i="1"/>
  <c r="T10" i="1"/>
  <c r="T9" i="1"/>
  <c r="U9" i="1" s="1"/>
  <c r="H9" i="1"/>
  <c r="U7" i="1"/>
  <c r="T7" i="1"/>
  <c r="U6" i="1"/>
  <c r="T6" i="1"/>
  <c r="T5" i="1"/>
  <c r="U5" i="1" s="1"/>
  <c r="U4" i="1"/>
  <c r="T4" i="1"/>
  <c r="U3" i="1"/>
  <c r="T3" i="1"/>
  <c r="U2" i="1"/>
  <c r="T2" i="1"/>
  <c r="T1" i="1"/>
  <c r="U1" i="1" s="1"/>
  <c r="E76" i="1" l="1"/>
  <c r="G75" i="1"/>
  <c r="AA394" i="1"/>
  <c r="G393" i="1"/>
  <c r="F394" i="1"/>
  <c r="E394" i="1" s="1"/>
  <c r="AI394" i="1"/>
  <c r="AH394" i="1"/>
  <c r="U32" i="1"/>
  <c r="P109" i="1"/>
  <c r="U249" i="1"/>
  <c r="U482" i="1"/>
  <c r="O17" i="1"/>
  <c r="AH51" i="1"/>
  <c r="U50" i="1"/>
  <c r="E50" i="1"/>
  <c r="AA104" i="1"/>
  <c r="U107" i="1"/>
  <c r="U137" i="1"/>
  <c r="AI137" i="1"/>
  <c r="AI248" i="1"/>
  <c r="F248" i="1"/>
  <c r="E248" i="1" s="1"/>
  <c r="AA248" i="1"/>
  <c r="F289" i="1"/>
  <c r="U289" i="1"/>
  <c r="AI321" i="1"/>
  <c r="AH321" i="1"/>
  <c r="F321" i="1"/>
  <c r="E321" i="1" s="1"/>
  <c r="G18" i="1"/>
  <c r="AA21" i="1"/>
  <c r="AI21" i="1"/>
  <c r="L17" i="1"/>
  <c r="T79" i="1"/>
  <c r="I78" i="1"/>
  <c r="U98" i="1"/>
  <c r="H111" i="1"/>
  <c r="T116" i="1"/>
  <c r="U116" i="1" s="1"/>
  <c r="T230" i="1"/>
  <c r="U230" i="1" s="1"/>
  <c r="U248" i="1"/>
  <c r="T467" i="1"/>
  <c r="U467" i="1" s="1"/>
  <c r="U478" i="1"/>
  <c r="AI481" i="1"/>
  <c r="AH481" i="1"/>
  <c r="AA481" i="1"/>
  <c r="U481" i="1"/>
  <c r="F481" i="1"/>
  <c r="E481" i="1" s="1"/>
  <c r="G480" i="1"/>
  <c r="U534" i="1"/>
  <c r="F534" i="1"/>
  <c r="E534" i="1" s="1"/>
  <c r="F549" i="1"/>
  <c r="E549" i="1" s="1"/>
  <c r="U549" i="1"/>
  <c r="F552" i="1"/>
  <c r="E552" i="1" s="1"/>
  <c r="U552" i="1"/>
  <c r="F38" i="1"/>
  <c r="E38" i="1" s="1"/>
  <c r="AI38" i="1"/>
  <c r="U42" i="1"/>
  <c r="T67" i="1"/>
  <c r="U77" i="1"/>
  <c r="T87" i="1"/>
  <c r="U87" i="1" s="1"/>
  <c r="T97" i="1"/>
  <c r="P94" i="1"/>
  <c r="K110" i="1"/>
  <c r="G111" i="1"/>
  <c r="AA112" i="1"/>
  <c r="F112" i="1"/>
  <c r="E112" i="1" s="1"/>
  <c r="Q110" i="1"/>
  <c r="Q109" i="1" s="1"/>
  <c r="AI161" i="1"/>
  <c r="U161" i="1"/>
  <c r="F287" i="1"/>
  <c r="U287" i="1"/>
  <c r="U310" i="1"/>
  <c r="AI28" i="1"/>
  <c r="AA28" i="1"/>
  <c r="E35" i="1"/>
  <c r="AI54" i="1"/>
  <c r="F54" i="1"/>
  <c r="E54" i="1" s="1"/>
  <c r="G80" i="1"/>
  <c r="T80" i="1"/>
  <c r="F106" i="1"/>
  <c r="E106" i="1" s="1"/>
  <c r="M110" i="1"/>
  <c r="L110" i="1"/>
  <c r="H151" i="1"/>
  <c r="T151" i="1" s="1"/>
  <c r="U159" i="1"/>
  <c r="AI192" i="1"/>
  <c r="AA192" i="1"/>
  <c r="U192" i="1"/>
  <c r="F207" i="1"/>
  <c r="T251" i="1"/>
  <c r="F71" i="1"/>
  <c r="E71" i="1" s="1"/>
  <c r="AI71" i="1"/>
  <c r="O393" i="1"/>
  <c r="O240" i="1" s="1"/>
  <c r="T394" i="1"/>
  <c r="U394" i="1" s="1"/>
  <c r="E53" i="1"/>
  <c r="G52" i="1"/>
  <c r="AA93" i="1"/>
  <c r="AI93" i="1"/>
  <c r="I94" i="1"/>
  <c r="U106" i="1"/>
  <c r="AA107" i="1"/>
  <c r="E165" i="1"/>
  <c r="O174" i="1"/>
  <c r="AA197" i="1"/>
  <c r="AI197" i="1"/>
  <c r="F197" i="1"/>
  <c r="J240" i="1"/>
  <c r="M372" i="1"/>
  <c r="M371" i="1" s="1"/>
  <c r="G420" i="1"/>
  <c r="AI421" i="1"/>
  <c r="F421" i="1"/>
  <c r="E421" i="1" s="1"/>
  <c r="F433" i="1"/>
  <c r="G432" i="1"/>
  <c r="T510" i="1"/>
  <c r="U510" i="1" s="1"/>
  <c r="F98" i="1"/>
  <c r="E98" i="1" s="1"/>
  <c r="G97" i="1"/>
  <c r="AI98" i="1"/>
  <c r="F261" i="1"/>
  <c r="E261" i="1" s="1"/>
  <c r="AA261" i="1"/>
  <c r="AI261" i="1"/>
  <c r="F195" i="1"/>
  <c r="AI195" i="1"/>
  <c r="AI243" i="1"/>
  <c r="G241" i="1"/>
  <c r="AA243" i="1"/>
  <c r="U243" i="1"/>
  <c r="F363" i="1"/>
  <c r="E363" i="1"/>
  <c r="AH363" i="1"/>
  <c r="AA363" i="1"/>
  <c r="S17" i="1"/>
  <c r="G92" i="1"/>
  <c r="U93" i="1"/>
  <c r="T104" i="1"/>
  <c r="U104" i="1" s="1"/>
  <c r="O111" i="1"/>
  <c r="O110" i="1" s="1"/>
  <c r="G118" i="1"/>
  <c r="E118" i="1" s="1"/>
  <c r="F125" i="1"/>
  <c r="E125" i="1" s="1"/>
  <c r="AI125" i="1"/>
  <c r="U130" i="1"/>
  <c r="U141" i="1"/>
  <c r="F149" i="1"/>
  <c r="E149" i="1" s="1"/>
  <c r="G147" i="1"/>
  <c r="E147" i="1" s="1"/>
  <c r="T158" i="1"/>
  <c r="U158" i="1" s="1"/>
  <c r="AA186" i="1"/>
  <c r="AI186" i="1"/>
  <c r="G193" i="1"/>
  <c r="N174" i="1"/>
  <c r="T174" i="1" s="1"/>
  <c r="T195" i="1"/>
  <c r="U195" i="1" s="1"/>
  <c r="G236" i="1"/>
  <c r="E236" i="1" s="1"/>
  <c r="AI239" i="1"/>
  <c r="AI300" i="1"/>
  <c r="F300" i="1"/>
  <c r="E300" i="1" s="1"/>
  <c r="G299" i="1"/>
  <c r="AA299" i="1" s="1"/>
  <c r="AA300" i="1"/>
  <c r="U300" i="1"/>
  <c r="F376" i="1"/>
  <c r="E376" i="1" s="1"/>
  <c r="AI376" i="1"/>
  <c r="U376" i="1"/>
  <c r="U421" i="1"/>
  <c r="U433" i="1"/>
  <c r="K512" i="1"/>
  <c r="T513" i="1"/>
  <c r="U567" i="1"/>
  <c r="AI567" i="1"/>
  <c r="AH567" i="1"/>
  <c r="F567" i="1"/>
  <c r="E567" i="1" s="1"/>
  <c r="G566" i="1"/>
  <c r="T92" i="1"/>
  <c r="I91" i="1"/>
  <c r="I90" i="1" s="1"/>
  <c r="I17" i="1" s="1"/>
  <c r="I16" i="1" s="1"/>
  <c r="I15" i="1" s="1"/>
  <c r="I14" i="1" s="1"/>
  <c r="I13" i="1" s="1"/>
  <c r="U76" i="1"/>
  <c r="AA106" i="1"/>
  <c r="AI106" i="1"/>
  <c r="T429" i="1"/>
  <c r="U429" i="1" s="1"/>
  <c r="H428" i="1"/>
  <c r="E429" i="1"/>
  <c r="T37" i="1"/>
  <c r="U37" i="1" s="1"/>
  <c r="H75" i="1"/>
  <c r="O78" i="1"/>
  <c r="F81" i="1"/>
  <c r="AI81" i="1"/>
  <c r="AA81" i="1"/>
  <c r="AI83" i="1"/>
  <c r="U83" i="1"/>
  <c r="H90" i="1"/>
  <c r="T90" i="1" s="1"/>
  <c r="Q94" i="1"/>
  <c r="U125" i="1"/>
  <c r="F137" i="1"/>
  <c r="E137" i="1" s="1"/>
  <c r="G152" i="1"/>
  <c r="U155" i="1"/>
  <c r="T193" i="1"/>
  <c r="F214" i="1"/>
  <c r="T236" i="1"/>
  <c r="J328" i="1"/>
  <c r="T328" i="1" s="1"/>
  <c r="F351" i="1"/>
  <c r="E351" i="1" s="1"/>
  <c r="U367" i="1"/>
  <c r="T477" i="1"/>
  <c r="U477" i="1" s="1"/>
  <c r="F478" i="1"/>
  <c r="E478" i="1" s="1"/>
  <c r="U51" i="1"/>
  <c r="U120" i="1"/>
  <c r="F181" i="1"/>
  <c r="AA181" i="1"/>
  <c r="U186" i="1"/>
  <c r="U197" i="1"/>
  <c r="T220" i="1"/>
  <c r="U220" i="1" s="1"/>
  <c r="M240" i="1"/>
  <c r="U321" i="1"/>
  <c r="U325" i="1"/>
  <c r="AA339" i="1"/>
  <c r="AH339" i="1"/>
  <c r="F339" i="1"/>
  <c r="E339" i="1" s="1"/>
  <c r="H362" i="1"/>
  <c r="T362" i="1" s="1"/>
  <c r="T363" i="1"/>
  <c r="U363" i="1" s="1"/>
  <c r="AH421" i="1"/>
  <c r="U471" i="1"/>
  <c r="U527" i="1"/>
  <c r="F40" i="1"/>
  <c r="E40" i="1" s="1"/>
  <c r="AI40" i="1"/>
  <c r="AI46" i="1"/>
  <c r="G67" i="1"/>
  <c r="U70" i="1"/>
  <c r="H78" i="1"/>
  <c r="T78" i="1" s="1"/>
  <c r="U114" i="1"/>
  <c r="AI129" i="1"/>
  <c r="F129" i="1"/>
  <c r="E129" i="1" s="1"/>
  <c r="F145" i="1"/>
  <c r="E145" i="1" s="1"/>
  <c r="G144" i="1"/>
  <c r="E144" i="1" s="1"/>
  <c r="AI145" i="1"/>
  <c r="U150" i="1"/>
  <c r="F150" i="1"/>
  <c r="E150" i="1" s="1"/>
  <c r="J151" i="1"/>
  <c r="J110" i="1" s="1"/>
  <c r="J109" i="1" s="1"/>
  <c r="J16" i="1" s="1"/>
  <c r="J15" i="1" s="1"/>
  <c r="J14" i="1" s="1"/>
  <c r="J13" i="1" s="1"/>
  <c r="G163" i="1"/>
  <c r="G160" i="1" s="1"/>
  <c r="U168" i="1"/>
  <c r="U194" i="1"/>
  <c r="U201" i="1"/>
  <c r="F247" i="1"/>
  <c r="E247" i="1" s="1"/>
  <c r="F256" i="1"/>
  <c r="E256" i="1" s="1"/>
  <c r="AI256" i="1"/>
  <c r="U256" i="1"/>
  <c r="F282" i="1"/>
  <c r="E282" i="1" s="1"/>
  <c r="AI282" i="1"/>
  <c r="G296" i="1"/>
  <c r="AI297" i="1"/>
  <c r="AH297" i="1"/>
  <c r="K328" i="1"/>
  <c r="K240" i="1" s="1"/>
  <c r="T373" i="1"/>
  <c r="U373" i="1" s="1"/>
  <c r="H372" i="1"/>
  <c r="AI397" i="1"/>
  <c r="AH397" i="1"/>
  <c r="G396" i="1"/>
  <c r="AA397" i="1"/>
  <c r="F397" i="1"/>
  <c r="E397" i="1" s="1"/>
  <c r="O417" i="1"/>
  <c r="T432" i="1"/>
  <c r="U432" i="1" s="1"/>
  <c r="H431" i="1"/>
  <c r="T431" i="1" s="1"/>
  <c r="U434" i="1"/>
  <c r="E444" i="1"/>
  <c r="E451" i="1"/>
  <c r="AH451" i="1"/>
  <c r="O450" i="1"/>
  <c r="O449" i="1" s="1"/>
  <c r="P579" i="1"/>
  <c r="U33" i="1"/>
  <c r="P66" i="1"/>
  <c r="P17" i="1" s="1"/>
  <c r="AA70" i="1"/>
  <c r="U85" i="1"/>
  <c r="U181" i="1"/>
  <c r="AI190" i="1"/>
  <c r="AA194" i="1"/>
  <c r="AI223" i="1"/>
  <c r="U223" i="1"/>
  <c r="P240" i="1"/>
  <c r="F244" i="1"/>
  <c r="E244" i="1" s="1"/>
  <c r="AA244" i="1"/>
  <c r="F252" i="1"/>
  <c r="E252" i="1" s="1"/>
  <c r="G251" i="1"/>
  <c r="E251" i="1" s="1"/>
  <c r="U252" i="1"/>
  <c r="AI274" i="1"/>
  <c r="AH274" i="1"/>
  <c r="U274" i="1"/>
  <c r="F277" i="1"/>
  <c r="E277" i="1" s="1"/>
  <c r="AI277" i="1"/>
  <c r="T299" i="1"/>
  <c r="F409" i="1"/>
  <c r="G404" i="1"/>
  <c r="T418" i="1"/>
  <c r="U418" i="1" s="1"/>
  <c r="T437" i="1"/>
  <c r="U437" i="1" s="1"/>
  <c r="T451" i="1"/>
  <c r="U451" i="1" s="1"/>
  <c r="K450" i="1"/>
  <c r="S450" i="1"/>
  <c r="S449" i="1" s="1"/>
  <c r="T606" i="1"/>
  <c r="U606" i="1" s="1"/>
  <c r="H602" i="1"/>
  <c r="T53" i="1"/>
  <c r="U53" i="1" s="1"/>
  <c r="Q30" i="1"/>
  <c r="Q17" i="1" s="1"/>
  <c r="Q16" i="1" s="1"/>
  <c r="Q15" i="1" s="1"/>
  <c r="Q14" i="1" s="1"/>
  <c r="Q13" i="1" s="1"/>
  <c r="T35" i="1"/>
  <c r="U35" i="1" s="1"/>
  <c r="H30" i="1"/>
  <c r="G42" i="1"/>
  <c r="E42" i="1" s="1"/>
  <c r="H52" i="1"/>
  <c r="T52" i="1" s="1"/>
  <c r="U52" i="1" s="1"/>
  <c r="F133" i="1"/>
  <c r="E133" i="1" s="1"/>
  <c r="T144" i="1"/>
  <c r="U144" i="1" s="1"/>
  <c r="T147" i="1"/>
  <c r="U147" i="1" s="1"/>
  <c r="G178" i="1"/>
  <c r="AI181" i="1"/>
  <c r="AI189" i="1"/>
  <c r="F189" i="1"/>
  <c r="AI194" i="1"/>
  <c r="AH198" i="1"/>
  <c r="AI198" i="1"/>
  <c r="F202" i="1"/>
  <c r="U202" i="1"/>
  <c r="G249" i="1"/>
  <c r="U254" i="1"/>
  <c r="F271" i="1"/>
  <c r="E271" i="1" s="1"/>
  <c r="AI271" i="1"/>
  <c r="U271" i="1"/>
  <c r="AI339" i="1"/>
  <c r="E360" i="1"/>
  <c r="K417" i="1"/>
  <c r="J449" i="1"/>
  <c r="H502" i="1"/>
  <c r="T503" i="1"/>
  <c r="U503" i="1" s="1"/>
  <c r="R522" i="1"/>
  <c r="R521" i="1" s="1"/>
  <c r="I576" i="1"/>
  <c r="I575" i="1" s="1"/>
  <c r="T577" i="1"/>
  <c r="AI587" i="1"/>
  <c r="F587" i="1"/>
  <c r="E587" i="1" s="1"/>
  <c r="AH587" i="1"/>
  <c r="U587" i="1"/>
  <c r="U28" i="1"/>
  <c r="F33" i="1"/>
  <c r="E33" i="1" s="1"/>
  <c r="G32" i="1"/>
  <c r="U108" i="1"/>
  <c r="T18" i="1"/>
  <c r="AA22" i="1"/>
  <c r="AI22" i="1"/>
  <c r="AA29" i="1"/>
  <c r="F29" i="1"/>
  <c r="E29" i="1" s="1"/>
  <c r="K30" i="1"/>
  <c r="K17" i="1" s="1"/>
  <c r="S30" i="1"/>
  <c r="G84" i="1"/>
  <c r="E84" i="1" s="1"/>
  <c r="H96" i="1"/>
  <c r="F142" i="1"/>
  <c r="E142" i="1" s="1"/>
  <c r="G141" i="1"/>
  <c r="E141" i="1" s="1"/>
  <c r="F176" i="1"/>
  <c r="AI176" i="1"/>
  <c r="F229" i="1"/>
  <c r="E229" i="1" s="1"/>
  <c r="G228" i="1"/>
  <c r="E228" i="1" s="1"/>
  <c r="H267" i="1"/>
  <c r="T267" i="1" s="1"/>
  <c r="T296" i="1"/>
  <c r="AH320" i="1"/>
  <c r="U320" i="1"/>
  <c r="F320" i="1"/>
  <c r="E320" i="1" s="1"/>
  <c r="AH365" i="1"/>
  <c r="E365" i="1"/>
  <c r="F387" i="1"/>
  <c r="E387" i="1" s="1"/>
  <c r="G386" i="1"/>
  <c r="AI387" i="1"/>
  <c r="T396" i="1"/>
  <c r="U396" i="1" s="1"/>
  <c r="F460" i="1"/>
  <c r="E460" i="1" s="1"/>
  <c r="U460" i="1"/>
  <c r="F484" i="1"/>
  <c r="E484" i="1" s="1"/>
  <c r="U484" i="1"/>
  <c r="U494" i="1"/>
  <c r="F494" i="1"/>
  <c r="U21" i="1"/>
  <c r="U203" i="1"/>
  <c r="AI233" i="1"/>
  <c r="U239" i="1"/>
  <c r="N241" i="1"/>
  <c r="N240" i="1" s="1"/>
  <c r="AI255" i="1"/>
  <c r="F279" i="1"/>
  <c r="E279" i="1" s="1"/>
  <c r="AI279" i="1"/>
  <c r="AI283" i="1"/>
  <c r="F305" i="1"/>
  <c r="E305" i="1" s="1"/>
  <c r="AI305" i="1"/>
  <c r="AH305" i="1"/>
  <c r="G302" i="1"/>
  <c r="U318" i="1"/>
  <c r="AI322" i="1"/>
  <c r="G329" i="1"/>
  <c r="F354" i="1"/>
  <c r="E354" i="1" s="1"/>
  <c r="AI354" i="1"/>
  <c r="G373" i="1"/>
  <c r="AH374" i="1"/>
  <c r="AI374" i="1"/>
  <c r="U374" i="1"/>
  <c r="E378" i="1"/>
  <c r="AH391" i="1"/>
  <c r="AI391" i="1"/>
  <c r="AA391" i="1"/>
  <c r="T420" i="1"/>
  <c r="U420" i="1" s="1"/>
  <c r="F422" i="1"/>
  <c r="E422" i="1" s="1"/>
  <c r="AI422" i="1"/>
  <c r="I450" i="1"/>
  <c r="I449" i="1" s="1"/>
  <c r="AA470" i="1"/>
  <c r="AI470" i="1"/>
  <c r="AH470" i="1"/>
  <c r="T496" i="1"/>
  <c r="U496" i="1" s="1"/>
  <c r="T508" i="1"/>
  <c r="U508" i="1" s="1"/>
  <c r="T609" i="1"/>
  <c r="U609" i="1" s="1"/>
  <c r="AH282" i="1"/>
  <c r="AH315" i="1"/>
  <c r="U319" i="1"/>
  <c r="L362" i="1"/>
  <c r="T365" i="1"/>
  <c r="U365" i="1" s="1"/>
  <c r="AH376" i="1"/>
  <c r="U400" i="1"/>
  <c r="N417" i="1"/>
  <c r="T445" i="1"/>
  <c r="U445" i="1" s="1"/>
  <c r="T480" i="1"/>
  <c r="I479" i="1"/>
  <c r="T479" i="1" s="1"/>
  <c r="L240" i="1"/>
  <c r="F253" i="1"/>
  <c r="E253" i="1" s="1"/>
  <c r="U261" i="1"/>
  <c r="AH300" i="1"/>
  <c r="F309" i="1"/>
  <c r="E309" i="1" s="1"/>
  <c r="AI309" i="1"/>
  <c r="F343" i="1"/>
  <c r="E343" i="1" s="1"/>
  <c r="F347" i="1"/>
  <c r="E347" i="1" s="1"/>
  <c r="M362" i="1"/>
  <c r="J372" i="1"/>
  <c r="J371" i="1" s="1"/>
  <c r="R372" i="1"/>
  <c r="R371" i="1" s="1"/>
  <c r="R240" i="1" s="1"/>
  <c r="R109" i="1" s="1"/>
  <c r="R16" i="1" s="1"/>
  <c r="R15" i="1" s="1"/>
  <c r="R14" i="1" s="1"/>
  <c r="R13" i="1" s="1"/>
  <c r="T386" i="1"/>
  <c r="U386" i="1" s="1"/>
  <c r="F390" i="1"/>
  <c r="E390" i="1" s="1"/>
  <c r="F392" i="1"/>
  <c r="E392" i="1" s="1"/>
  <c r="AI392" i="1"/>
  <c r="F395" i="1"/>
  <c r="E395" i="1" s="1"/>
  <c r="U398" i="1"/>
  <c r="G436" i="1"/>
  <c r="E436" i="1" s="1"/>
  <c r="E437" i="1"/>
  <c r="F452" i="1"/>
  <c r="E452" i="1" s="1"/>
  <c r="L450" i="1"/>
  <c r="L449" i="1" s="1"/>
  <c r="T458" i="1"/>
  <c r="U458" i="1" s="1"/>
  <c r="AI474" i="1"/>
  <c r="F474" i="1"/>
  <c r="E474" i="1" s="1"/>
  <c r="F487" i="1"/>
  <c r="E487" i="1" s="1"/>
  <c r="U487" i="1"/>
  <c r="T580" i="1"/>
  <c r="H579" i="1"/>
  <c r="AA597" i="1"/>
  <c r="AI597" i="1"/>
  <c r="F597" i="1"/>
  <c r="E597" i="1" s="1"/>
  <c r="M301" i="1"/>
  <c r="T301" i="1" s="1"/>
  <c r="K372" i="1"/>
  <c r="K371" i="1" s="1"/>
  <c r="S372" i="1"/>
  <c r="S371" i="1" s="1"/>
  <c r="S240" i="1" s="1"/>
  <c r="S109" i="1" s="1"/>
  <c r="F517" i="1"/>
  <c r="E517" i="1" s="1"/>
  <c r="G513" i="1"/>
  <c r="G512" i="1" s="1"/>
  <c r="U281" i="1"/>
  <c r="U327" i="1"/>
  <c r="U339" i="1"/>
  <c r="AI345" i="1"/>
  <c r="AH354" i="1"/>
  <c r="G367" i="1"/>
  <c r="G362" i="1" s="1"/>
  <c r="AH375" i="1"/>
  <c r="AI383" i="1"/>
  <c r="AI388" i="1"/>
  <c r="AI403" i="1"/>
  <c r="E418" i="1"/>
  <c r="AH418" i="1"/>
  <c r="AH419" i="1"/>
  <c r="U435" i="1"/>
  <c r="F472" i="1"/>
  <c r="E472" i="1" s="1"/>
  <c r="M522" i="1"/>
  <c r="M521" i="1" s="1"/>
  <c r="O522" i="1"/>
  <c r="O521" i="1" s="1"/>
  <c r="T610" i="1"/>
  <c r="U610" i="1" s="1"/>
  <c r="H612" i="1"/>
  <c r="T612" i="1" s="1"/>
  <c r="T613" i="1"/>
  <c r="G382" i="1"/>
  <c r="AI384" i="1"/>
  <c r="AH390" i="1"/>
  <c r="AI402" i="1"/>
  <c r="P417" i="1"/>
  <c r="AI419" i="1"/>
  <c r="T444" i="1"/>
  <c r="U444" i="1" s="1"/>
  <c r="AH456" i="1"/>
  <c r="AI483" i="1"/>
  <c r="F483" i="1"/>
  <c r="E483" i="1" s="1"/>
  <c r="T523" i="1"/>
  <c r="U523" i="1" s="1"/>
  <c r="N522" i="1"/>
  <c r="N521" i="1" s="1"/>
  <c r="G528" i="1"/>
  <c r="G527" i="1" s="1"/>
  <c r="F530" i="1"/>
  <c r="E530" i="1" s="1"/>
  <c r="S579" i="1"/>
  <c r="G581" i="1"/>
  <c r="AH582" i="1"/>
  <c r="F590" i="1"/>
  <c r="E590" i="1" s="1"/>
  <c r="AI590" i="1"/>
  <c r="T302" i="1"/>
  <c r="G315" i="1"/>
  <c r="E315" i="1" s="1"/>
  <c r="T329" i="1"/>
  <c r="U334" i="1"/>
  <c r="G344" i="1"/>
  <c r="F345" i="1"/>
  <c r="E345" i="1" s="1"/>
  <c r="T378" i="1"/>
  <c r="U378" i="1" s="1"/>
  <c r="G401" i="1"/>
  <c r="U401" i="1" s="1"/>
  <c r="F419" i="1"/>
  <c r="E419" i="1" s="1"/>
  <c r="G434" i="1"/>
  <c r="F434" i="1" s="1"/>
  <c r="E434" i="1" s="1"/>
  <c r="U438" i="1"/>
  <c r="R450" i="1"/>
  <c r="R449" i="1" s="1"/>
  <c r="G482" i="1"/>
  <c r="AH482" i="1" s="1"/>
  <c r="U488" i="1"/>
  <c r="F497" i="1"/>
  <c r="E497" i="1" s="1"/>
  <c r="U540" i="1"/>
  <c r="G568" i="1"/>
  <c r="E568" i="1" s="1"/>
  <c r="U574" i="1"/>
  <c r="N579" i="1"/>
  <c r="U590" i="1"/>
  <c r="T603" i="1"/>
  <c r="U603" i="1" s="1"/>
  <c r="T344" i="1"/>
  <c r="U344" i="1" s="1"/>
  <c r="T393" i="1"/>
  <c r="U393" i="1" s="1"/>
  <c r="N450" i="1"/>
  <c r="N449" i="1" s="1"/>
  <c r="T506" i="1"/>
  <c r="U506" i="1" s="1"/>
  <c r="G519" i="1"/>
  <c r="T519" i="1"/>
  <c r="U519" i="1" s="1"/>
  <c r="T575" i="1"/>
  <c r="T616" i="1"/>
  <c r="H615" i="1"/>
  <c r="T615" i="1" s="1"/>
  <c r="AH453" i="1"/>
  <c r="F507" i="1"/>
  <c r="E507" i="1" s="1"/>
  <c r="G506" i="1"/>
  <c r="AH506" i="1" s="1"/>
  <c r="AI507" i="1"/>
  <c r="T528" i="1"/>
  <c r="U528" i="1" s="1"/>
  <c r="T566" i="1"/>
  <c r="F585" i="1"/>
  <c r="E585" i="1" s="1"/>
  <c r="F594" i="1"/>
  <c r="E594" i="1" s="1"/>
  <c r="AH595" i="1"/>
  <c r="U595" i="1"/>
  <c r="AH598" i="1"/>
  <c r="F598" i="1"/>
  <c r="E598" i="1" s="1"/>
  <c r="G602" i="1"/>
  <c r="AH602" i="1" s="1"/>
  <c r="AH603" i="1"/>
  <c r="O602" i="1"/>
  <c r="O579" i="1" s="1"/>
  <c r="F504" i="1"/>
  <c r="E504" i="1" s="1"/>
  <c r="G503" i="1"/>
  <c r="AI504" i="1"/>
  <c r="O502" i="1"/>
  <c r="T525" i="1"/>
  <c r="U525" i="1" s="1"/>
  <c r="I522" i="1"/>
  <c r="I521" i="1" s="1"/>
  <c r="T521" i="1" s="1"/>
  <c r="U530" i="1"/>
  <c r="T576" i="1"/>
  <c r="H608" i="1"/>
  <c r="T608" i="1" s="1"/>
  <c r="AI586" i="1"/>
  <c r="F586" i="1"/>
  <c r="E586" i="1" s="1"/>
  <c r="F614" i="1"/>
  <c r="E614" i="1" s="1"/>
  <c r="G613" i="1"/>
  <c r="S617" i="1"/>
  <c r="S616" i="1" s="1"/>
  <c r="S615" i="1" s="1"/>
  <c r="T618" i="1"/>
  <c r="G618" i="1"/>
  <c r="AH497" i="1"/>
  <c r="T512" i="1"/>
  <c r="U532" i="1"/>
  <c r="U545" i="1"/>
  <c r="U589" i="1"/>
  <c r="U591" i="1"/>
  <c r="U601" i="1"/>
  <c r="AH501" i="1"/>
  <c r="AH578" i="1"/>
  <c r="G577" i="1"/>
  <c r="AA577" i="1" s="1"/>
  <c r="U553" i="1"/>
  <c r="T564" i="1"/>
  <c r="U564" i="1" s="1"/>
  <c r="AA578" i="1"/>
  <c r="T582" i="1"/>
  <c r="U582" i="1" s="1"/>
  <c r="U585" i="1"/>
  <c r="F588" i="1"/>
  <c r="E588" i="1" s="1"/>
  <c r="AH594" i="1"/>
  <c r="AH596" i="1"/>
  <c r="L522" i="1"/>
  <c r="L521" i="1" s="1"/>
  <c r="T581" i="1"/>
  <c r="U581" i="1" s="1"/>
  <c r="U605" i="1"/>
  <c r="E160" i="1" l="1"/>
  <c r="U160" i="1"/>
  <c r="AH362" i="1"/>
  <c r="E362" i="1"/>
  <c r="U328" i="1"/>
  <c r="T602" i="1"/>
  <c r="U602" i="1" s="1"/>
  <c r="G151" i="1"/>
  <c r="E151" i="1" s="1"/>
  <c r="E152" i="1"/>
  <c r="AH566" i="1"/>
  <c r="G522" i="1"/>
  <c r="AI193" i="1"/>
  <c r="AJ14" i="1" s="1"/>
  <c r="F193" i="1"/>
  <c r="E241" i="1"/>
  <c r="E344" i="1"/>
  <c r="AH344" i="1"/>
  <c r="G580" i="1"/>
  <c r="U580" i="1" s="1"/>
  <c r="AH581" i="1"/>
  <c r="AH382" i="1"/>
  <c r="E382" i="1"/>
  <c r="T502" i="1"/>
  <c r="U299" i="1"/>
  <c r="AA396" i="1"/>
  <c r="E396" i="1"/>
  <c r="AH396" i="1"/>
  <c r="G267" i="1"/>
  <c r="E267" i="1" s="1"/>
  <c r="AH296" i="1"/>
  <c r="E296" i="1"/>
  <c r="G96" i="1"/>
  <c r="E97" i="1"/>
  <c r="E52" i="1"/>
  <c r="L109" i="1"/>
  <c r="U152" i="1"/>
  <c r="U436" i="1"/>
  <c r="U84" i="1"/>
  <c r="G612" i="1"/>
  <c r="E613" i="1"/>
  <c r="T522" i="1"/>
  <c r="U522" i="1" s="1"/>
  <c r="U613" i="1"/>
  <c r="G372" i="1"/>
  <c r="E373" i="1"/>
  <c r="AH373" i="1"/>
  <c r="AA249" i="1"/>
  <c r="AI249" i="1"/>
  <c r="F249" i="1"/>
  <c r="E249" i="1" s="1"/>
  <c r="K449" i="1"/>
  <c r="U236" i="1"/>
  <c r="N110" i="1"/>
  <c r="N109" i="1" s="1"/>
  <c r="N16" i="1" s="1"/>
  <c r="N15" i="1" s="1"/>
  <c r="N14" i="1" s="1"/>
  <c r="N13" i="1" s="1"/>
  <c r="AA241" i="1"/>
  <c r="AH420" i="1"/>
  <c r="E420" i="1"/>
  <c r="U251" i="1"/>
  <c r="M109" i="1"/>
  <c r="M16" i="1" s="1"/>
  <c r="M15" i="1" s="1"/>
  <c r="M14" i="1" s="1"/>
  <c r="M13" i="1" s="1"/>
  <c r="U97" i="1"/>
  <c r="U118" i="1"/>
  <c r="AI618" i="1"/>
  <c r="AH618" i="1"/>
  <c r="F618" i="1"/>
  <c r="E618" i="1" s="1"/>
  <c r="G617" i="1"/>
  <c r="U362" i="1"/>
  <c r="AA92" i="1"/>
  <c r="E92" i="1"/>
  <c r="G91" i="1"/>
  <c r="F111" i="1"/>
  <c r="E111" i="1" s="1"/>
  <c r="S16" i="1"/>
  <c r="S15" i="1" s="1"/>
  <c r="S14" i="1" s="1"/>
  <c r="S13" i="1" s="1"/>
  <c r="U151" i="1"/>
  <c r="K109" i="1"/>
  <c r="K16" i="1" s="1"/>
  <c r="K15" i="1" s="1"/>
  <c r="K14" i="1" s="1"/>
  <c r="K13" i="1" s="1"/>
  <c r="L16" i="1"/>
  <c r="L15" i="1" s="1"/>
  <c r="L14" i="1" s="1"/>
  <c r="L13" i="1" s="1"/>
  <c r="AH393" i="1"/>
  <c r="AA393" i="1"/>
  <c r="E393" i="1"/>
  <c r="U566" i="1"/>
  <c r="U329" i="1"/>
  <c r="U612" i="1"/>
  <c r="H240" i="1"/>
  <c r="T240" i="1" s="1"/>
  <c r="T30" i="1"/>
  <c r="H450" i="1"/>
  <c r="U163" i="1"/>
  <c r="F163" i="1"/>
  <c r="E163" i="1" s="1"/>
  <c r="O109" i="1"/>
  <c r="O16" i="1" s="1"/>
  <c r="O15" i="1" s="1"/>
  <c r="O14" i="1" s="1"/>
  <c r="O13" i="1" s="1"/>
  <c r="T111" i="1"/>
  <c r="U111" i="1" s="1"/>
  <c r="H110" i="1"/>
  <c r="E18" i="1"/>
  <c r="U382" i="1"/>
  <c r="E75" i="1"/>
  <c r="G74" i="1"/>
  <c r="T617" i="1"/>
  <c r="U617" i="1" s="1"/>
  <c r="U296" i="1"/>
  <c r="T96" i="1"/>
  <c r="U96" i="1" s="1"/>
  <c r="H95" i="1"/>
  <c r="U18" i="1"/>
  <c r="T241" i="1"/>
  <c r="U241" i="1" s="1"/>
  <c r="P16" i="1"/>
  <c r="P15" i="1" s="1"/>
  <c r="P14" i="1" s="1"/>
  <c r="P13" i="1" s="1"/>
  <c r="T372" i="1"/>
  <c r="U372" i="1" s="1"/>
  <c r="H371" i="1"/>
  <c r="T371" i="1" s="1"/>
  <c r="U193" i="1"/>
  <c r="T91" i="1"/>
  <c r="T75" i="1"/>
  <c r="U75" i="1" s="1"/>
  <c r="H74" i="1"/>
  <c r="U513" i="1"/>
  <c r="AA111" i="1"/>
  <c r="U568" i="1"/>
  <c r="U80" i="1"/>
  <c r="U315" i="1"/>
  <c r="G66" i="1"/>
  <c r="E67" i="1"/>
  <c r="AH480" i="1"/>
  <c r="G479" i="1"/>
  <c r="AA480" i="1"/>
  <c r="U618" i="1"/>
  <c r="E367" i="1"/>
  <c r="AH367" i="1"/>
  <c r="G301" i="1"/>
  <c r="E302" i="1"/>
  <c r="AH302" i="1"/>
  <c r="U512" i="1"/>
  <c r="U302" i="1"/>
  <c r="U267" i="1"/>
  <c r="AA80" i="1"/>
  <c r="F80" i="1"/>
  <c r="G79" i="1"/>
  <c r="U67" i="1"/>
  <c r="T579" i="1"/>
  <c r="AH404" i="1"/>
  <c r="E404" i="1"/>
  <c r="T428" i="1"/>
  <c r="U428" i="1" s="1"/>
  <c r="E428" i="1"/>
  <c r="AH299" i="1"/>
  <c r="E299" i="1"/>
  <c r="U79" i="1"/>
  <c r="AH577" i="1"/>
  <c r="G576" i="1"/>
  <c r="E577" i="1"/>
  <c r="AH503" i="1"/>
  <c r="G502" i="1"/>
  <c r="AH502" i="1" s="1"/>
  <c r="H417" i="1"/>
  <c r="T417" i="1" s="1"/>
  <c r="G328" i="1"/>
  <c r="E329" i="1"/>
  <c r="AH329" i="1"/>
  <c r="AH386" i="1"/>
  <c r="E386" i="1"/>
  <c r="U577" i="1"/>
  <c r="F178" i="1"/>
  <c r="U178" i="1"/>
  <c r="G174" i="1"/>
  <c r="E174" i="1" s="1"/>
  <c r="AH401" i="1"/>
  <c r="E401" i="1"/>
  <c r="U480" i="1"/>
  <c r="G30" i="1"/>
  <c r="E32" i="1"/>
  <c r="U92" i="1"/>
  <c r="G431" i="1"/>
  <c r="E432" i="1"/>
  <c r="U228" i="1"/>
  <c r="U404" i="1"/>
  <c r="AH576" i="1" l="1"/>
  <c r="E576" i="1"/>
  <c r="G575" i="1"/>
  <c r="AA576" i="1"/>
  <c r="H109" i="1"/>
  <c r="T109" i="1" s="1"/>
  <c r="T110" i="1"/>
  <c r="U110" i="1" s="1"/>
  <c r="U579" i="1"/>
  <c r="U371" i="1"/>
  <c r="G95" i="1"/>
  <c r="E96" i="1"/>
  <c r="U502" i="1"/>
  <c r="E431" i="1"/>
  <c r="G417" i="1"/>
  <c r="E328" i="1"/>
  <c r="AH328" i="1"/>
  <c r="E79" i="1"/>
  <c r="G78" i="1"/>
  <c r="AH479" i="1"/>
  <c r="AA479" i="1"/>
  <c r="G450" i="1"/>
  <c r="U431" i="1"/>
  <c r="E74" i="1"/>
  <c r="G616" i="1"/>
  <c r="AH617" i="1"/>
  <c r="E612" i="1"/>
  <c r="G608" i="1"/>
  <c r="U608" i="1" s="1"/>
  <c r="U417" i="1"/>
  <c r="G110" i="1"/>
  <c r="E301" i="1"/>
  <c r="AH301" i="1"/>
  <c r="T74" i="1"/>
  <c r="U74" i="1" s="1"/>
  <c r="H66" i="1"/>
  <c r="H449" i="1"/>
  <c r="T449" i="1" s="1"/>
  <c r="T450" i="1"/>
  <c r="U450" i="1" s="1"/>
  <c r="AI619" i="1"/>
  <c r="AI10" i="1" s="1"/>
  <c r="E30" i="1"/>
  <c r="F30" i="1"/>
  <c r="F15" i="1" s="1"/>
  <c r="AG32" i="1"/>
  <c r="E66" i="1"/>
  <c r="AA91" i="1"/>
  <c r="G90" i="1"/>
  <c r="G17" i="1" s="1"/>
  <c r="E91" i="1"/>
  <c r="G579" i="1"/>
  <c r="AH580" i="1"/>
  <c r="U301" i="1"/>
  <c r="U576" i="1"/>
  <c r="U91" i="1"/>
  <c r="H94" i="1"/>
  <c r="T94" i="1" s="1"/>
  <c r="T95" i="1"/>
  <c r="U95" i="1" s="1"/>
  <c r="U30" i="1"/>
  <c r="G371" i="1"/>
  <c r="E372" i="1"/>
  <c r="AH372" i="1"/>
  <c r="AH522" i="1"/>
  <c r="G521" i="1"/>
  <c r="U479" i="1"/>
  <c r="U174" i="1"/>
  <c r="E110" i="1" l="1"/>
  <c r="E417" i="1"/>
  <c r="AH417" i="1"/>
  <c r="AH371" i="1"/>
  <c r="E371" i="1"/>
  <c r="G240" i="1"/>
  <c r="AH575" i="1"/>
  <c r="E575" i="1"/>
  <c r="AA575" i="1"/>
  <c r="U575" i="1"/>
  <c r="AH616" i="1"/>
  <c r="G615" i="1"/>
  <c r="U616" i="1"/>
  <c r="AH579" i="1"/>
  <c r="E579" i="1"/>
  <c r="AA90" i="1"/>
  <c r="E90" i="1"/>
  <c r="U90" i="1"/>
  <c r="AH450" i="1"/>
  <c r="E450" i="1"/>
  <c r="G449" i="1"/>
  <c r="U449" i="1" s="1"/>
  <c r="AH521" i="1"/>
  <c r="E521" i="1"/>
  <c r="U521" i="1"/>
  <c r="T66" i="1"/>
  <c r="U66" i="1" s="1"/>
  <c r="H17" i="1"/>
  <c r="E78" i="1"/>
  <c r="U78" i="1"/>
  <c r="G94" i="1"/>
  <c r="E94" i="1" s="1"/>
  <c r="E95" i="1"/>
  <c r="E240" i="1" l="1"/>
  <c r="U240" i="1"/>
  <c r="G109" i="1"/>
  <c r="E449" i="1"/>
  <c r="AH449" i="1"/>
  <c r="H16" i="1"/>
  <c r="T17" i="1"/>
  <c r="U17" i="1" s="1"/>
  <c r="E615" i="1"/>
  <c r="AH615" i="1"/>
  <c r="U615" i="1"/>
  <c r="U94" i="1"/>
  <c r="E17" i="1"/>
  <c r="T16" i="1" l="1"/>
  <c r="H15" i="1"/>
  <c r="E109" i="1"/>
  <c r="E13" i="1" s="1"/>
  <c r="G16" i="1"/>
  <c r="U109" i="1"/>
  <c r="E16" i="1" l="1"/>
  <c r="G15" i="1"/>
  <c r="T15" i="1"/>
  <c r="U15" i="1" s="1"/>
  <c r="H14" i="1"/>
  <c r="U16" i="1"/>
  <c r="T14" i="1" l="1"/>
  <c r="H13" i="1"/>
  <c r="T13" i="1" s="1"/>
  <c r="U13" i="1" s="1"/>
  <c r="E15" i="1"/>
  <c r="G14" i="1"/>
  <c r="G13" i="1" s="1"/>
  <c r="F14" i="1"/>
  <c r="F12" i="1" l="1"/>
  <c r="H8" i="1"/>
  <c r="T8" i="1" s="1"/>
  <c r="U8" i="1" s="1"/>
  <c r="G8" i="1"/>
  <c r="AI11" i="1"/>
  <c r="U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Caja</author>
  </authors>
  <commentList>
    <comment ref="C300" authorId="0" shapeId="0" xr:uid="{29A3FDD4-02BF-4079-8FBC-C7E0BDA298E7}">
      <text>
        <r>
          <rPr>
            <b/>
            <sz val="9"/>
            <color indexed="81"/>
            <rFont val="Tahoma"/>
            <family val="2"/>
          </rPr>
          <t>Caja:</t>
        </r>
        <r>
          <rPr>
            <sz val="9"/>
            <color indexed="81"/>
            <rFont val="Tahoma"/>
            <family val="2"/>
          </rPr>
          <t xml:space="preserve">
ESTA EN LA CLASIF. DE IMPTOS.</t>
        </r>
      </text>
    </comment>
  </commentList>
</comments>
</file>

<file path=xl/sharedStrings.xml><?xml version="1.0" encoding="utf-8"?>
<sst xmlns="http://schemas.openxmlformats.org/spreadsheetml/2006/main" count="1579" uniqueCount="1177">
  <si>
    <t>MUNICIPIO DE PILCAYA GUERRERO</t>
  </si>
  <si>
    <t>CALENDARIO DE INGRESOS DEL EJERCICIO FISCAL 2026</t>
  </si>
  <si>
    <t>BASE MENSUAL</t>
  </si>
  <si>
    <t>FUENTE DEL INGRESO</t>
  </si>
  <si>
    <t>ANUAL</t>
  </si>
  <si>
    <t>ENERO</t>
  </si>
  <si>
    <t>FEBRERO</t>
  </si>
  <si>
    <t>MARZO</t>
  </si>
  <si>
    <t>ABRIL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</si>
  <si>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</si>
  <si>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</si>
  <si>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</si>
  <si>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</si>
  <si>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</si>
  <si>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</si>
  <si>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</si>
  <si>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</si>
  <si>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T O T A L E S</t>
  </si>
  <si>
    <t>UNIDAD ADMVA.</t>
  </si>
  <si>
    <t>1</t>
  </si>
  <si>
    <t>INGRESOS MUNICIPALES</t>
  </si>
  <si>
    <t>1 1</t>
  </si>
  <si>
    <t>CORRIENTE ( TIPO DE GASTO  1 CORRIENTE, 2 CAPITAL)</t>
  </si>
  <si>
    <t>RECURSOS FISCALES</t>
  </si>
  <si>
    <t>1 1 1</t>
  </si>
  <si>
    <t>IMPUESTOS</t>
  </si>
  <si>
    <t>1 1 1 1</t>
  </si>
  <si>
    <t>IMPUESTOS SOBRE LOS INGRESOS</t>
  </si>
  <si>
    <t>1 1 1 1 001</t>
  </si>
  <si>
    <t>TEATRO, CIRCO, CARPA Y DIVERSIONES SIMILARES</t>
  </si>
  <si>
    <t>COMERCIO</t>
  </si>
  <si>
    <t>1 1 1 1 003</t>
  </si>
  <si>
    <t>EVENTOS TAURINOS SOBRE BOLETAJE</t>
  </si>
  <si>
    <t>1 1 1 1 006</t>
  </si>
  <si>
    <t>BAILES EVENT DE ESPECULACION, C/COBRO DE ENTRADA</t>
  </si>
  <si>
    <t>1 1 1 1 009</t>
  </si>
  <si>
    <t>OTRAS DIVERSIONES O ESPECTACULOS PUB NO ESPECIFICADAS</t>
  </si>
  <si>
    <t>1 1 1 1 010</t>
  </si>
  <si>
    <t>BAILES PART NO ESPECULATIVOS DESARROLLADOS EN ESP. PUB.</t>
  </si>
  <si>
    <t>1 1 1 1 011</t>
  </si>
  <si>
    <t>MAQUINA DE VIDEO-JUEGOS POR UNIDAD Y POR ANUALIDAD</t>
  </si>
  <si>
    <t>1 1 1 1 012</t>
  </si>
  <si>
    <t>JUEGOS MECANICOS PARA NIÑOS POR UNIDAD Y POR ANUALIDAD</t>
  </si>
  <si>
    <t>1 1 1 1 013</t>
  </si>
  <si>
    <t>MAQUINAS DE GOLOSINAS O FUTBOLITOS POR UNIDAD Y POR ANUALIDAD</t>
  </si>
  <si>
    <t>1 1 1 1 014</t>
  </si>
  <si>
    <t>MAQUINAS DE ENTRETENIMIENTO Y DESTREZA</t>
  </si>
  <si>
    <t>1 1 1 1 015</t>
  </si>
  <si>
    <t>EQUIPOS DE ESPARCIMIENTO Y BIENESTAR</t>
  </si>
  <si>
    <t>1 1 1 1 016</t>
  </si>
  <si>
    <t>ESTRUCTURAS DE RECREACION</t>
  </si>
  <si>
    <t>1 1 1 2</t>
  </si>
  <si>
    <t>IMPUESTO SOBRE EL PATRIMONIO</t>
  </si>
  <si>
    <t>IMPUESTO PREDIAL</t>
  </si>
  <si>
    <t>1 1 1 2 001</t>
  </si>
  <si>
    <t>PREDIOS URBANOS Y SUB-URBANOS BALDIOS</t>
  </si>
  <si>
    <t>1 1 1 2 001 001</t>
  </si>
  <si>
    <t>URBANOS BALDIOS</t>
  </si>
  <si>
    <t>CATASTRO</t>
  </si>
  <si>
    <t>1 1 1 2 001 002</t>
  </si>
  <si>
    <t>SUB-URBANOS BALDIOS</t>
  </si>
  <si>
    <t>1 1 1 2 003</t>
  </si>
  <si>
    <t>PREDIOS RUSTICOS BALDIOS</t>
  </si>
  <si>
    <t>1 1 1 2 003 001</t>
  </si>
  <si>
    <t>RUSTICOS BALDIOS</t>
  </si>
  <si>
    <t>1 1 1 2 004</t>
  </si>
  <si>
    <t>PREDIOS URBANOS, SUB-URBANOS Y RUSTICOS</t>
  </si>
  <si>
    <t>1 1 1 2 004 001</t>
  </si>
  <si>
    <t>URBANOS EDIFICADOS DESTINADOS A CASA HABITACION.</t>
  </si>
  <si>
    <t>1 1 1 2 004 002</t>
  </si>
  <si>
    <t>SUB-URBANOS EDIFICADOS DESTINADOS A CASA  HABITACION.</t>
  </si>
  <si>
    <t>1 1 1 2 004 003</t>
  </si>
  <si>
    <t>RUSTICOS EDIFICADOS DESTINADOS A CASA HABITACION.</t>
  </si>
  <si>
    <t>1 1 1 2 004 004</t>
  </si>
  <si>
    <t>LOS DE REGIMEN DE TIEMPO COMPARTIDO Y MULTIPROPIEDAD</t>
  </si>
  <si>
    <t>1 1 1 2 008</t>
  </si>
  <si>
    <t>PREDIOS EDIF PROP DE PENSIONADOS Y JUBIL</t>
  </si>
  <si>
    <t>1 1 1 2 008 001</t>
  </si>
  <si>
    <t>PENSIONADOS Y JUBILADOS</t>
  </si>
  <si>
    <t>1 1 1 2 008 002</t>
  </si>
  <si>
    <t>INAPAM</t>
  </si>
  <si>
    <t>1 1 1 2 008 003</t>
  </si>
  <si>
    <t>PERSONAS CON CAPACIDADES DIFERENTES</t>
  </si>
  <si>
    <t>1 1 1 2 008 005</t>
  </si>
  <si>
    <t>INSEN</t>
  </si>
  <si>
    <t>1 1 1 2 009</t>
  </si>
  <si>
    <t>DESCUENTO IMPUESTO PREDIAL</t>
  </si>
  <si>
    <t>1 1 1 2 010</t>
  </si>
  <si>
    <t>IMPUESTOS SOBRE ADQUISICIONES DE INMUEBLES</t>
  </si>
  <si>
    <t>1 1 1 2 010 001</t>
  </si>
  <si>
    <t>SOBRE ADQUISICION DE INMUEBLES</t>
  </si>
  <si>
    <t>1 1 1 2 011</t>
  </si>
  <si>
    <t>REZAGOS</t>
  </si>
  <si>
    <t>REZAGO IMPUESTO PREDIAL</t>
  </si>
  <si>
    <t>1 1 1 6</t>
  </si>
  <si>
    <t>IMPUESTOS ECOLOGICOS</t>
  </si>
  <si>
    <t>1 1 1 6 002</t>
  </si>
  <si>
    <t>PRO-ECOLOGIA</t>
  </si>
  <si>
    <t>1 1 1 6 002 001</t>
  </si>
  <si>
    <t>POR VERIFICACIÓN PARA ESTABLECIMIENTO</t>
  </si>
  <si>
    <t>TESORERIA</t>
  </si>
  <si>
    <t>1 1 1 6 002 002</t>
  </si>
  <si>
    <t>PERMISO PARA PODA DE ARBOL PUBLICO O PRIVADO</t>
  </si>
  <si>
    <t>1 1 1 6 002 003</t>
  </si>
  <si>
    <t>PERMISO PARA DERRIBO DE ARBOL PUBLICO O PRIVADO</t>
  </si>
  <si>
    <t>1 1 1 6 002 004</t>
  </si>
  <si>
    <t>RENOVACION DE VENCIMIENTO DEL VISTO BUENO PARA PODA O DERRIBO DE ARBOL</t>
  </si>
  <si>
    <t>1 1 1 6 002 005</t>
  </si>
  <si>
    <t>LICENCIA AMBIENTAL NO RESERVADA A LA FEDERACIÓN</t>
  </si>
  <si>
    <t>1 1 1 6 002 006</t>
  </si>
  <si>
    <t>AUTORIZACION DE REGISTRO GENERADOR DE EMISIONES CONTAMINANTES</t>
  </si>
  <si>
    <t>1 1 1 6 002 007</t>
  </si>
  <si>
    <t>SOLICITUD DE REGISTRO DE DESCARGA DE AGUAS RESIDUALES</t>
  </si>
  <si>
    <t>1 1 1 6 002 008</t>
  </si>
  <si>
    <t>INFORME O MANISFESTACIONES DE RESIDUOS NO PELIGROSOS</t>
  </si>
  <si>
    <t>1 1 1 6 002 009</t>
  </si>
  <si>
    <t>EXTRACCION DE FLORA NO RESERVADA A LA FEDERACIÓN EN EL MUNICIPIO</t>
  </si>
  <si>
    <t>1 1 1 6 002 010</t>
  </si>
  <si>
    <t>MOVIMIENTOS DE ACTIVIDADES RIESGOSAS DENTRO DE EMPRESAS, NEGOCIOS U OTROS</t>
  </si>
  <si>
    <t>1 1 1 6 002 011</t>
  </si>
  <si>
    <t>DICTAMENES PARA CAMBIOS DE USO DE SUELO</t>
  </si>
  <si>
    <t>1 1 1 7</t>
  </si>
  <si>
    <t>ACCESORIOS DE IMPUESTOS</t>
  </si>
  <si>
    <t>1 1 1 7 001</t>
  </si>
  <si>
    <t>RECARGOS</t>
  </si>
  <si>
    <t>1 1 1 7 001 001</t>
  </si>
  <si>
    <t>RECARGO PREDIAL</t>
  </si>
  <si>
    <t>1 1 1 7 001 002</t>
  </si>
  <si>
    <t>RECARGOS AGUA POTABLE</t>
  </si>
  <si>
    <t>AGUA POTABLE</t>
  </si>
  <si>
    <t>1 1 1 7 001 003</t>
  </si>
  <si>
    <t>RECARGOS DE OSARIO GUARDA Y CUSTODIA</t>
  </si>
  <si>
    <t>SALUD</t>
  </si>
  <si>
    <t>1 1 1 7 001 004</t>
  </si>
  <si>
    <t>RECARGOS DEPTO. DE COMERCIO Y ESPECT. PUB.</t>
  </si>
  <si>
    <t>1 1 1 7 001 005</t>
  </si>
  <si>
    <t>RECARGOS SERV. MPAL. DE SALUD</t>
  </si>
  <si>
    <t>1 1 1 7 001 006</t>
  </si>
  <si>
    <t>OTROS RECARGOS</t>
  </si>
  <si>
    <t>1 1 1 7 002</t>
  </si>
  <si>
    <t>1 1 1 7 002 001</t>
  </si>
  <si>
    <t>REZAGO PREDIAL</t>
  </si>
  <si>
    <t>1 1 1 7 002 001 008</t>
  </si>
  <si>
    <t>REZAGO PREDIAL  GENERAL</t>
  </si>
  <si>
    <t>1 1 1 7 002 001 008 001</t>
  </si>
  <si>
    <t>REZAGO PREDIAL GENERAL URBANO Y RUSTICO</t>
  </si>
  <si>
    <t>1 1 1 8</t>
  </si>
  <si>
    <t>OTROS IMPUESTOS</t>
  </si>
  <si>
    <t>1 1 1 8 001</t>
  </si>
  <si>
    <t>APLICADOS A IMPTO PREDIAL Y DERECHOS POR SERV. CATASTRALES</t>
  </si>
  <si>
    <t>1 1 1 8 001 001</t>
  </si>
  <si>
    <t>PRO-EDUCACION Y ASISTENCIA SOCIAL</t>
  </si>
  <si>
    <t>1 1 1 8 001 002</t>
  </si>
  <si>
    <t>PRO-CAMINOS</t>
  </si>
  <si>
    <t>1 1 1 8 001 004</t>
  </si>
  <si>
    <t>PRO-EDUCACION Y ASISTENCIA SOCIAL(REZAGO)</t>
  </si>
  <si>
    <t>1 1 1 8 001 005</t>
  </si>
  <si>
    <t xml:space="preserve">PRO-CAMINOS REZAGO
</t>
  </si>
  <si>
    <t>1 1 1 8 002</t>
  </si>
  <si>
    <t>APLICADOS A DERECHOS POR SERV DE TRANSIT</t>
  </si>
  <si>
    <t>1 1 1 8 002 001</t>
  </si>
  <si>
    <t>TRANSITO</t>
  </si>
  <si>
    <t>1 1 1 8 002 002</t>
  </si>
  <si>
    <t>PRO-RECUPERACION EQUILIBRIO ECOLOGIC</t>
  </si>
  <si>
    <t>1 1 1 8 003</t>
  </si>
  <si>
    <t>APLICADOS A DERECHOS POR SERV DE AGUA PO</t>
  </si>
  <si>
    <t>1 1 1 8 003 001</t>
  </si>
  <si>
    <t>PRO-EDUCACION Y ASISTENCIA SOCIAL (REZAGO)</t>
  </si>
  <si>
    <t>1 1 1 8 003 002</t>
  </si>
  <si>
    <t>PRO-REDES (REZAGO)</t>
  </si>
  <si>
    <t>1 1 1 9</t>
  </si>
  <si>
    <t>IMPUESTOS DE MEJORAS NO COMPRENDIDOS EN LA LEY DE INGRESOS VIGENTE, CAUSADOS EN EJERCICIOS FISCALES ANTERIORES DE LIQ. DE PAGO</t>
  </si>
  <si>
    <t>1 1 1 9 001</t>
  </si>
  <si>
    <t>1 1 1 9 001 001</t>
  </si>
  <si>
    <t>1 1 1 9 001 001 001</t>
  </si>
  <si>
    <t>1 1 3</t>
  </si>
  <si>
    <t>CONTRIBUCION DE MEJORAS</t>
  </si>
  <si>
    <t>1 1 3 1</t>
  </si>
  <si>
    <t>POR COOPERACION PARA OBRAS PUBLICAS</t>
  </si>
  <si>
    <t>1 1 3 1 001</t>
  </si>
  <si>
    <t>COOPERACION PARA OBRAS PUBLICAS DE URBANIZACION</t>
  </si>
  <si>
    <t>1 1 3 1 001 001</t>
  </si>
  <si>
    <t>PARA LA CONSTRUCCION</t>
  </si>
  <si>
    <t>1 1 3 1 001 001 001</t>
  </si>
  <si>
    <t>POR INSTALACION DE TUBERIA DE DISTRIBUCION DE AGUA POTABLE POR METRO LINEAL</t>
  </si>
  <si>
    <t>1 1 3 1 001 001 002</t>
  </si>
  <si>
    <t>POR INSTALACION DE TUBERIA PARA DRENAJE SANITARIO POR METRO LINEAL</t>
  </si>
  <si>
    <t>1 1 3 1 001 003 003</t>
  </si>
  <si>
    <t>POR TOMAS DOMICILIARIAS</t>
  </si>
  <si>
    <t>1 1 3 1 001 003 004</t>
  </si>
  <si>
    <t>POR PAVIMENTO O REHABILITACION DEL PAVIMENTO, POR METRO CUADRADO</t>
  </si>
  <si>
    <t>1 1 3 1 001 003 005</t>
  </si>
  <si>
    <t>POR GUARNICIONES, POR METRO LINEAL</t>
  </si>
  <si>
    <t>1 1 3 1 001 003 006</t>
  </si>
  <si>
    <t>POR BANQUETA, POR METRO CUADRADO</t>
  </si>
  <si>
    <t>1 1 3 1 001 002</t>
  </si>
  <si>
    <t>PARA LA REPARACION</t>
  </si>
  <si>
    <t>1 1 3 1 001 002 001</t>
  </si>
  <si>
    <t>1 1 3 1 001 002 003</t>
  </si>
  <si>
    <t>1 1 3 9</t>
  </si>
  <si>
    <t>CONTRIBUCIONES DE MEJORAS NO COMPRENDIDOS EN LA LEY DE INGRESOS VIGENTE, CAUSADOS EN EJERCICIOS FISCALES ANTERIORES DE LIQ. DE PAGO</t>
  </si>
  <si>
    <t>1 1 3 9 001</t>
  </si>
  <si>
    <t>REZAGO DE CONTRIBUCIONES DE MEJORAS</t>
  </si>
  <si>
    <t>1 1 4</t>
  </si>
  <si>
    <t>DERECHOS</t>
  </si>
  <si>
    <t>1 1 4 1</t>
  </si>
  <si>
    <t>DERECHOS POR EL USO, GOCE, APROVECHAMIENTO O EXPLOTACION DE BIENES DE DOMINIO PUBLICO</t>
  </si>
  <si>
    <t>1 1 4 1 001</t>
  </si>
  <si>
    <t>1 1 4 1 001 001</t>
  </si>
  <si>
    <t>1 1 4 1 001 001 001</t>
  </si>
  <si>
    <t>1 1 4 1 001 001 002</t>
  </si>
  <si>
    <t>1 1 4 1 001 001 003</t>
  </si>
  <si>
    <t>1 1 4 1 001 003</t>
  </si>
  <si>
    <t>1 1 4 1 001 003 003</t>
  </si>
  <si>
    <t>1 1 4 1 002</t>
  </si>
  <si>
    <t>LICENCIAS PARA CONSTRUCCION DE EDIFICIOS O CASAS HABITACION, RESTAURACION O REPARACION, URBANIZACION, FRACCIONAMIENTO, LOTIFICACION, RELOTIFICACION, FUSION Y SUB-DIVISION</t>
  </si>
  <si>
    <t>1 1 4 1 002 001</t>
  </si>
  <si>
    <t>LICENCIA DE CONSTRUCCION ECONOMICO, CASA HABITACION</t>
  </si>
  <si>
    <t>DESARROLLO URBANO</t>
  </si>
  <si>
    <t>1 1 4 1 002 007</t>
  </si>
  <si>
    <t>LICENCIA DE CONSTRUCCION DE SEGUNDA CLASE, CASA HABITACION</t>
  </si>
  <si>
    <t>1 1 4 1 002 008</t>
  </si>
  <si>
    <t>LICENCIA DE CONSTRUCCION DE SEGUNDA CLASE, LOCALES INDUSTRIALES</t>
  </si>
  <si>
    <t>1 1 4 1 002 009</t>
  </si>
  <si>
    <t>LICENCIA DE CONSTRUCCION DE SEGUNDA CLASE, EDIF. DE PRODUCTOS O CONDOMINIOS</t>
  </si>
  <si>
    <t>1 1 4 1 002 026</t>
  </si>
  <si>
    <t>POR REVALIDACION DE LA LICENCIA VENCIDA</t>
  </si>
  <si>
    <t>1 1 4 1 002 027</t>
  </si>
  <si>
    <t>POR EXPEDICION DE LICENCIA DE FRACCIONAMIENTO Y OBRAS DE URBANIZACION, EN ZONA A (COMERCIAL) POR M2</t>
  </si>
  <si>
    <t>1 1 4 1 002 031</t>
  </si>
  <si>
    <t>POR EL PERMISO PARA EJECUTAR RUPTURAS EN LA VIA PUBLICA, EMPEDRADO</t>
  </si>
  <si>
    <t>1 1 4 1 002 032</t>
  </si>
  <si>
    <t>POR EL PERMISO PARA EJECUTAR RUPTURAS EN LA VIA PUBLICA, ASFALTO</t>
  </si>
  <si>
    <t>1 1 4 1 002 040</t>
  </si>
  <si>
    <t>AUTORIZACION PARA FUSION DE PREDIOS URBANOS, EN ZONA C (POPULAR) POR M2</t>
  </si>
  <si>
    <t>1 1 4 1 002 042</t>
  </si>
  <si>
    <t>AUTORIZACION PARA FUSION DE PREDIOS RUSTICOS POR M2</t>
  </si>
  <si>
    <t>1 1 4 1 002 044</t>
  </si>
  <si>
    <t>AUTORIZACION PARA DIVISION Y SUBDIVISION, LOTIFICACION DE PREDIOS  URBANOS, EN ZONA B (MEDIA) POR M2</t>
  </si>
  <si>
    <t>1 1 4 1 002 045</t>
  </si>
  <si>
    <t>AUTORIZACION PARA DIVISION Y SUBDIVISION, LOTIFICACION DE PREDIOS  URBANOS, EN ZONA C (POPULAR) POR M2</t>
  </si>
  <si>
    <t>1 1 4 1 002 046</t>
  </si>
  <si>
    <t>AUTORIZACION PARA DIVISION Y SUBDIVISION, LOTIFICACION DE PREDIOS URBANOS, EN ZONA D (POPULAR ECONOMICA) POR M2</t>
  </si>
  <si>
    <t>1 1 4 1 002 047</t>
  </si>
  <si>
    <t>AUTORIZACION PARA DIVISION Y SUBDIVISION, LOTIFICACION DE PREDIOS RUSTICOS M2</t>
  </si>
  <si>
    <t>1 1 4 1 002 052</t>
  </si>
  <si>
    <t>POR LICENCIA DE CONSTRUCCION DE BOVEDA EN PANTEONES</t>
  </si>
  <si>
    <t>1 1 4 1 002 053</t>
  </si>
  <si>
    <t>POR LICENCIA DE COLOCACION DE MONUMENTOS EN PANTEONES</t>
  </si>
  <si>
    <t>1 1 4 1 002 054</t>
  </si>
  <si>
    <t>POR LICENCIA DE COLOCACION DE CRIPTAS EN PANTEONES</t>
  </si>
  <si>
    <t>1 1 4 1 002 055</t>
  </si>
  <si>
    <t>POR LICENCIA DE COLOCACION DE BARANDALES EN PANTEONES</t>
  </si>
  <si>
    <t>1 1 4 1 002 056</t>
  </si>
  <si>
    <t>POR LICENCIA DE CIRCULACION DE LOTES EN PANTEONES</t>
  </si>
  <si>
    <t>1 1 4 1 002 057</t>
  </si>
  <si>
    <t>POR LICENCIA DE CONSTRUCCION DE CAPILLAS EN PANTEONES</t>
  </si>
  <si>
    <t>1 1 4 1 002 058</t>
  </si>
  <si>
    <t>POR LICENCIA POR APERTURA DE FOSA PARA SEPULTURA</t>
  </si>
  <si>
    <t>1 1 4 1 002 059</t>
  </si>
  <si>
    <t>POR LA EXPEDICION DE LICENCIAS PARA CONSTRUCCION DE OBRAS</t>
  </si>
  <si>
    <t>1 1 4 1 003</t>
  </si>
  <si>
    <t>LICENCIAS PARA EL ALINEAMIENTO DE EDIFICIOS O CASAS HABITACION Y DE PREDIOS</t>
  </si>
  <si>
    <t>1 1 4 1 003 001</t>
  </si>
  <si>
    <t>POR EL ALINEAMIENTO EN ZONA URBANA COMERCIAL</t>
  </si>
  <si>
    <t>1 1 4 1 003 004</t>
  </si>
  <si>
    <t>POR EL ALINEAMIENTO EN ZONA URBANA POPULAR ECONOMICA</t>
  </si>
  <si>
    <t>1 1 4 1 004</t>
  </si>
  <si>
    <t>LICENCIAS PARA LA DEMOLICION DE EDIFICIOS O CASAS HABITACION</t>
  </si>
  <si>
    <t>1 1 4 1 004 001</t>
  </si>
  <si>
    <t>POR LA EXPEDICION DE LICENCIA PARA LA DEMOLICION DE EDIFICIOS O CASAS HABITACION</t>
  </si>
  <si>
    <t>1 1 4 1 004 002</t>
  </si>
  <si>
    <t>SERVICIOS VARIOS DE DEMOLICION</t>
  </si>
  <si>
    <t>1 1 4 1 005</t>
  </si>
  <si>
    <t>DICTAMEN DE FACTIBILIDAD DE USO DE SUELO</t>
  </si>
  <si>
    <t>1 1 4 1 005 001</t>
  </si>
  <si>
    <t>APLICA A EMPRESAS, FRANQUICIAS Y MARCAS QUE SOLICITEN CONSTRUIR, MODIFICAR, O RENTAR INMUEBLES PARA FINES COMERCIALES</t>
  </si>
  <si>
    <t>1 1 4 1 005 002</t>
  </si>
  <si>
    <t>APLICA A CASA HABITACIÓN, INMUEBLES PARA UTILIDAD PÚBLICA Y AFINES, ASÍ COMO COMERCIOS Y LOCALESM QUE SOLICITEN  CONSTRUIR, MODIFICAR, O RENTAR INMUEBLES.</t>
  </si>
  <si>
    <t>1 1 4 1 005 003</t>
  </si>
  <si>
    <t>APLICA A AQUELLOS QUE SOLICITEN  CONSTRUIR, MODIFICAR, O RENTAR INMUEBLES PARA FINES COMERCIALES CON GIROS ROJOS.</t>
  </si>
  <si>
    <t>1 1 4 1 006</t>
  </si>
  <si>
    <t>SERVICIOS GENERALES EN PANTEONES</t>
  </si>
  <si>
    <t>1 1 4 1 006 001</t>
  </si>
  <si>
    <t>INHUMACIONES POR CUERPO</t>
  </si>
  <si>
    <t>1 1 4 1 006 001 001</t>
  </si>
  <si>
    <t>1 1 4 1 006 001 002</t>
  </si>
  <si>
    <t>RE-ESCRITURACION DE PROPIETARIOS</t>
  </si>
  <si>
    <t>1 1 4 1 006 001 003</t>
  </si>
  <si>
    <t xml:space="preserve">CAMBIO DE TITULAR DE POSESION DE LOTES Y NICHOS </t>
  </si>
  <si>
    <t>1 1 4 1 006 001 004</t>
  </si>
  <si>
    <t>REINHUMACIONES POR CUERPO</t>
  </si>
  <si>
    <t>1 1 4 1 006 001 005</t>
  </si>
  <si>
    <t>CERTIFICACION DE LOTES Y NICHOS EN POSESION</t>
  </si>
  <si>
    <t>1 1 4 1 006 002</t>
  </si>
  <si>
    <t>EXHUMACIONES POR CUERPO</t>
  </si>
  <si>
    <t>1 1 4 1 006 002 001</t>
  </si>
  <si>
    <t>DESPUES DE TRANSCURRIDO EL TERMINO DE LEY</t>
  </si>
  <si>
    <t>1 1 4 1 006 003</t>
  </si>
  <si>
    <t>OSARIO, GUARDA Y CUSTODIA ANUALMENTE</t>
  </si>
  <si>
    <t>1 1 4 1 006 003 001</t>
  </si>
  <si>
    <t>CUOTA ANUAL POR SERV  DE MANTENIMIENTO OSARIO, GUARDA Y CUSTODIA</t>
  </si>
  <si>
    <t>1 1 4 1 006 003 003</t>
  </si>
  <si>
    <t>PERPETUIDAD DE NICHO ANUALMENTE</t>
  </si>
  <si>
    <t>1 1 4 1 006 003 004</t>
  </si>
  <si>
    <t>REZAGO OSARIO, GUARDA Y CUSTODIA</t>
  </si>
  <si>
    <t>1 1 4 1 006 003 005</t>
  </si>
  <si>
    <t>REZAGO DE ADQUISICIONES DE NICHOS</t>
  </si>
  <si>
    <t>1 1 4 1 006 004</t>
  </si>
  <si>
    <t>TRASLADO DE CADAVERES O RESTOS ARIDOS</t>
  </si>
  <si>
    <t>1 1 4 1 006 004 002</t>
  </si>
  <si>
    <t>DENTRO DEL MUNICIPIO Y DENTRO DEL ESTADO</t>
  </si>
  <si>
    <t>1 1 4 1 006 005</t>
  </si>
  <si>
    <t>DERECHOS POR LA PRESTACION DE SERVICIOS DE LIMPIA, ASEO DEL PANTEON Y RECOLECCION Y DISPOSICION FINAL DE RESIDUOS, LOS PROPIETARIOS DE LOTES PAGARAN ANUALMENTE</t>
  </si>
  <si>
    <t>1 1 4 1 006 005 001</t>
  </si>
  <si>
    <t>POR SERV. DE RECOL. DE DESECHOS A PROP. O POSEEDORES DE CASAS HABIT., CONDOMINIOS, DEPTOS O SIMILARES</t>
  </si>
  <si>
    <t>1 1 4 1 006 005 002</t>
  </si>
  <si>
    <t>POR SERV. DE RECOL. A ESTABLEC. COMERCIALES, INDUSTRIALES, HOSPITALES, CLINICAS Y SIMILARES</t>
  </si>
  <si>
    <t>1 1 4 1 006 005 003</t>
  </si>
  <si>
    <t>POR LIMPIEZA Y SANEAMIENTO DE LOTES BALDIOS URBANOS SIN BARDA, EN REBELDIA DE LOS OBLIGADOS</t>
  </si>
  <si>
    <t>1 1 4 1 006 005 004</t>
  </si>
  <si>
    <t>POR RECOLECCION Y DISPOSICION FINAL DE RESIDUOS GENERADOS POR LA PODA DE ARBOLES</t>
  </si>
  <si>
    <t>1 1 4 1 006 005 005</t>
  </si>
  <si>
    <t>POR EL USO DEL SITIO FINAL O CENTRO DE ACOPIO MUNICIPAL, POR CADA VEHÍCULO PARTICULAR POR VIAJE</t>
  </si>
  <si>
    <t>1 1 4 1 006 005 006</t>
  </si>
  <si>
    <t>POR LIMPIEZA DE PREDIOS PARTICULARES A SOLICITUD DE LOS DUEÑOS</t>
  </si>
  <si>
    <t>1 1 4 1 007</t>
  </si>
  <si>
    <t>SERVICIO DE AGUA POTABLE,  DRENAJE, ALCANTARILLADO Y SANEAMIENTO</t>
  </si>
  <si>
    <t>1 1 4 1 007 001</t>
  </si>
  <si>
    <t>SERVICIO DE AGUA POTABLE TARIFA TIPO:(DO) DOMESTICA</t>
  </si>
  <si>
    <t>1 1 4 1 007 002</t>
  </si>
  <si>
    <t>SERVICIO DE AGUA POTABLE TARIFA TIPO: (CO) COMERCIAL</t>
  </si>
  <si>
    <t>1 1 4 1 007 003</t>
  </si>
  <si>
    <t>SERVICIO DE AGUA POTABLE TARIFA TIPO:(DO) DOMESTICA B</t>
  </si>
  <si>
    <t>1 1 4 1 007 004</t>
  </si>
  <si>
    <t>SERVICIO DE AGUA POTABLE TARIFA TIPO:(DO) COMERCIAL B</t>
  </si>
  <si>
    <t>1 1 4 1 007 005</t>
  </si>
  <si>
    <t>SERVICIO DE AGUA POTABLE TARIFA TIPO:(DO) MIXTA</t>
  </si>
  <si>
    <t>1 1 4 1 007 006</t>
  </si>
  <si>
    <t>POR CONEXIÓN A LA RED DE AGUA POTABLE ( ZONA POPULAR)</t>
  </si>
  <si>
    <t>1 1 4 1 007 007</t>
  </si>
  <si>
    <t>POR CONEXIÓN A LA RED DE AGUA POTABLE ( ZONA SEMIPOPULAR)</t>
  </si>
  <si>
    <t>1 1 4 1 007 008</t>
  </si>
  <si>
    <t>POR RECONEXION DE LA RED DE AGUA POTABLE ZONA (MEDIA)</t>
  </si>
  <si>
    <t>1 1 4 1 007 009</t>
  </si>
  <si>
    <t>POR RECONECCIÃƒâ€œN DE LA RED DE AGUA POTABLE ZONA ( ZONA POPULAR)</t>
  </si>
  <si>
    <t>1 1 4 1 007 010</t>
  </si>
  <si>
    <t>SERVICIO DE AGUA POTABLE TARIFA TIPO:(DO) COMERCIAL C</t>
  </si>
  <si>
    <t>1 1 4 1 007 013</t>
  </si>
  <si>
    <t>POR CONEXIÓN A LA RED DE DRENAJE ZONA POPULAR</t>
  </si>
  <si>
    <t>1 1 4 1 007 014</t>
  </si>
  <si>
    <t>POR LA RED DE DRENAJE ZONA (ZONA POPULAR ECONOMICA)</t>
  </si>
  <si>
    <t>1 1 4 1 007 017</t>
  </si>
  <si>
    <t>POR RECONEXION A LA RED DE DRENAJE ZONA ( ZONA POPULAR)</t>
  </si>
  <si>
    <t>1 1 4 1 007 018</t>
  </si>
  <si>
    <t>POR EL SERVICIO DE DESCARGA SANITARIA</t>
  </si>
  <si>
    <t>1 1 4 1 007 019</t>
  </si>
  <si>
    <t>OTROS SERVICIOS, CAMBIO DE NOMBRE A CONTRATOS</t>
  </si>
  <si>
    <t>1 1 4 1 007 020</t>
  </si>
  <si>
    <t>SUMINISTRO DE AGUA MEDIANTE CARRO CISTERNA PIPA ZONA URBANA</t>
  </si>
  <si>
    <t>1 1 4 1 007 ___</t>
  </si>
  <si>
    <t>SUMINISTRO DE AGUA MEDIANTE CARRO CISTERNA PIPA ZONA FUERA DE ZONA URBANA</t>
  </si>
  <si>
    <t>1 1 4 1 007 021</t>
  </si>
  <si>
    <t>CARGA EN PUNTO DE ABASTECIMIENTO PARA CARROS CISTERNA POR VIAJE</t>
  </si>
  <si>
    <t>1 1 4 1 007 022</t>
  </si>
  <si>
    <t>OTROS SERVICIOS, REPOSICIÓN DE PAVIMENTO</t>
  </si>
  <si>
    <t>1 1 4 1 007 023</t>
  </si>
  <si>
    <t>OTROS SERVICIOS, DESFOGUE DE TOMAS</t>
  </si>
  <si>
    <t>1 1 4 1 007 024</t>
  </si>
  <si>
    <t>OTROS SERVICIOS, EXCAVACIÓN POR M2</t>
  </si>
  <si>
    <t>1 1 4 1 007 026</t>
  </si>
  <si>
    <t>OTROS SERVICIOS, EXCAVACIÓN EN ASFALTO POR M2</t>
  </si>
  <si>
    <t>1 1 4 1 007 027</t>
  </si>
  <si>
    <t>OTROS SERVICIOS, DISTINTOS A LOS ANTERIORES</t>
  </si>
  <si>
    <t>1 1 4 1 007 030</t>
  </si>
  <si>
    <t>REZAGO AGUA POTABLE GENERAL</t>
  </si>
  <si>
    <t>1 1 4 1 007 032</t>
  </si>
  <si>
    <t>SERVICIO DE AGUA POTABLE TIPO DOMESTICA INAPAM PENSIONADOS</t>
  </si>
  <si>
    <t>1 1 4 1 007 033</t>
  </si>
  <si>
    <t>SERVICIO DE AGUA POTABLE TIPO COMERCAL  INAPAM PENSIONADOS</t>
  </si>
  <si>
    <t>1 1 4 1 007 034</t>
  </si>
  <si>
    <t>CONEXION A LA RED DE AGUA POTABLE ZONA POPULAR DE INAPAM</t>
  </si>
  <si>
    <t>1 1 4 1 007 035</t>
  </si>
  <si>
    <t>CONEXION A LA RED DE DRENAJE EN ZONAS POPULARES  DE INAPAM</t>
  </si>
  <si>
    <t>1 1 4 1 007 036</t>
  </si>
  <si>
    <t>POR CONEXION A LA RED DE AGUA POTABLE  DOMESTICA ZONA SEMI POPULAR</t>
  </si>
  <si>
    <t>1 1 4 1 007 037</t>
  </si>
  <si>
    <t>POR CONEXION A LA RED DE DRENAJE ZONA SEMI POPULAR</t>
  </si>
  <si>
    <t>1 1 4 1 007 038</t>
  </si>
  <si>
    <t>POR SERVICIO DE RANURA</t>
  </si>
  <si>
    <t>1 1 4 1 007 039</t>
  </si>
  <si>
    <t>SERVICIO DE AGUA POTABLE TARIFA TIPO (DO) DOMESTICA (B)</t>
  </si>
  <si>
    <t>1 1 4 1 007 040</t>
  </si>
  <si>
    <t>SERVICIO DE AGUA POTABLE TARIFA TIPO (DO) COMERCIAL (B)</t>
  </si>
  <si>
    <t>1 1 4 1 007 041</t>
  </si>
  <si>
    <t>SERVICIO DE AGUA POTABLE TARIFA TIPO (DO) MIXTA</t>
  </si>
  <si>
    <t>1 1 4 1 007 042</t>
  </si>
  <si>
    <t>TARIFA INDUSTRIAL: PARA AUTOLAVADOS, LAVANDERIAS, TINTORERIAS, REFRESQUERAS, BAÑOS PUBLICOS, BALNEARIOS, MOLINOS, TORTILLERIAS, BLOQUERAS Y SIMILARES</t>
  </si>
  <si>
    <t>1 1 4 1 007 __</t>
  </si>
  <si>
    <t>TARIFA PARA TIENDAS DE AUTOSERVICIO Y DEPARTAMENTALES</t>
  </si>
  <si>
    <t>CUOTA POR DESCARGA SANITARIA DE GRAN VOLUMEN</t>
  </si>
  <si>
    <t>1 1 4 1 007 043</t>
  </si>
  <si>
    <t>SERVICIO DE AGUA POTABLE TARIFA TIPO (DO) ESPECIAL</t>
  </si>
  <si>
    <t>1 1 4 1 007 044</t>
  </si>
  <si>
    <t>SERVICIO DE AGUA POTABLE TARIFA TIPO (DO) COMERCIAL C</t>
  </si>
  <si>
    <t>1 1 4 1 007 048</t>
  </si>
  <si>
    <t>SERVICIO DE DESCARGA SANITARIA DOMESTICA TIPO 1</t>
  </si>
  <si>
    <t>1 1 4 1 007 049</t>
  </si>
  <si>
    <t>SERVICIO DE DESCARGA SANITARIA DOMESTICA TIPO 2</t>
  </si>
  <si>
    <t>1 1 4 1 007 050</t>
  </si>
  <si>
    <t>SERVICIO DE DESCARGA SANITARIA COMERCIAL TIPO 1</t>
  </si>
  <si>
    <t>1 1 4 1 007 051</t>
  </si>
  <si>
    <t>SERVICIO DE DESCARGA SANITARIA COMERCIAL TIPO 2</t>
  </si>
  <si>
    <t>1 1 4 1 007 052</t>
  </si>
  <si>
    <t>SERVICIO DE DESCARGA SANITARIA COMERCIAL TIPO 3</t>
  </si>
  <si>
    <t>1 1 4 1 007 053</t>
  </si>
  <si>
    <t>SERVICIO DE DESCARGA SANITARIA MIXTA</t>
  </si>
  <si>
    <t>1 1 4 1 007 054</t>
  </si>
  <si>
    <t>SERVICIO DE DESCARGA SANITARIA INDUSTRIAL</t>
  </si>
  <si>
    <t>REHUBICACION DE TOMA DE AGUA</t>
  </si>
  <si>
    <t>CONSTANCIA DE NO ADEUDO DE SERVICIO DE AGUA POTABLE</t>
  </si>
  <si>
    <t>CONSTANCIA DE NO SERVICIO DE AGUA POTABLE</t>
  </si>
  <si>
    <t>REEXPEDICION DE RECIBO DE PAGO</t>
  </si>
  <si>
    <t>RECONEXION DEL SERVICIO POR SUSPENSION (USO DOMESTICO Y MIXTO)</t>
  </si>
  <si>
    <t>RECONEXION DEL SERVICIO POR SUSPENSION (USO COMERCIAL E INDUSTRIAL)</t>
  </si>
  <si>
    <t>1 1 4 1 007 055</t>
  </si>
  <si>
    <t>OTROS SERVICIOS, DEMOLICION POR M2</t>
  </si>
  <si>
    <t>1 1 4 1 008</t>
  </si>
  <si>
    <t>POR SERVICIOS DE ALUMBRADO PUBLICO</t>
  </si>
  <si>
    <t>1 1 4 1 008 001</t>
  </si>
  <si>
    <t>CASAS HABITACION, PRECARIA</t>
  </si>
  <si>
    <t>SERVS. GENERALES</t>
  </si>
  <si>
    <t>1 1 4 1 009</t>
  </si>
  <si>
    <t>POR EL USO DE LA VIA PUBLICA</t>
  </si>
  <si>
    <t>1 1 4 1 009 001</t>
  </si>
  <si>
    <t>COMERCIO AMBULANTE, LOS INSTALADOS EN PUESTOS SEMI-FIJOS EN ZONAS AUTORIZADAS POR EL AYUNTAMIENTO</t>
  </si>
  <si>
    <t>1 1 4 1 009 002</t>
  </si>
  <si>
    <t>COMERCIO AMBULANTE, PUESTOS SEMI-FIJOS EN LAS DEMÃƒÆ’?S COMUNIDADES DEL MUNICIPIO</t>
  </si>
  <si>
    <t>1 1 4 1 009 003</t>
  </si>
  <si>
    <t>COMERCIO AMBULANTE EN LAS CALLES AUTORIZADAS POR EL AYUNTAMIENTO, DENTRO DE LA CABECERA MUNICIPAL DIARIAMENTE</t>
  </si>
  <si>
    <t>1 1 4 1 009 004</t>
  </si>
  <si>
    <t>LOS QUE VENDAN MERCANCIAS EN LAS CALLES EN VEHICULOS AUTOMOTORES</t>
  </si>
  <si>
    <t>1 1 4 1 009 010</t>
  </si>
  <si>
    <t>LOS QUE VENDAD MERCANCIAS EN LAS CALLES EN VEHICULOS AUTOMOTORES</t>
  </si>
  <si>
    <t>1 1 4 1 010</t>
  </si>
  <si>
    <t>CENTRALES DE MAQUINARIA AGRICOLA</t>
  </si>
  <si>
    <t>1 1 4 1 010 001</t>
  </si>
  <si>
    <t>RASTREO POR HECTARIA O FRACCION</t>
  </si>
  <si>
    <t>DESARROLLO RURAL</t>
  </si>
  <si>
    <t>1 1 4 1 010 002</t>
  </si>
  <si>
    <t>BARBECHO POR HECTARIA POR FRACCION</t>
  </si>
  <si>
    <t>1 1 4 1 010 003</t>
  </si>
  <si>
    <t>DESGRANADO POR COSTAL</t>
  </si>
  <si>
    <t>1 1 4 3</t>
  </si>
  <si>
    <t>DERECHOS POR PRESTACION DE SERVICIOS</t>
  </si>
  <si>
    <t>1 1 4 3 001</t>
  </si>
  <si>
    <t>POR LA EXPEDICION DE PERMISOS Y REGISTROS EN MATERIA AMBIENTAL</t>
  </si>
  <si>
    <t>1 1 4 3 001 004</t>
  </si>
  <si>
    <t>CENTROS DE ESPECTACULOS Y SALONES DE FIESTA</t>
  </si>
  <si>
    <t>MEDIO AMBIENTE</t>
  </si>
  <si>
    <t>1 1 4 3 001 007</t>
  </si>
  <si>
    <t>POZOLERIAS</t>
  </si>
  <si>
    <t>1 1 4 3 001 009</t>
  </si>
  <si>
    <t>DISCOTECAS</t>
  </si>
  <si>
    <t>1 1 4 3 001 010</t>
  </si>
  <si>
    <t>TALLERES MECANICOS</t>
  </si>
  <si>
    <t>1 1 4 3 001 013</t>
  </si>
  <si>
    <t>TALLERES DE LAVADO DE AUTO</t>
  </si>
  <si>
    <t>1 1 4 3 001 015</t>
  </si>
  <si>
    <t>CARPINTERIA</t>
  </si>
  <si>
    <t>1 1 4 3 001 020</t>
  </si>
  <si>
    <t>DONATIVOS Y LEGADOS</t>
  </si>
  <si>
    <t>1 1 4 3 001 021</t>
  </si>
  <si>
    <t>OTROS PERMISOS EN MATERI AMBIENTAL</t>
  </si>
  <si>
    <t>1 1 4 3 001 024</t>
  </si>
  <si>
    <t>REZAGO EN MATERIA AMBIENTAL</t>
  </si>
  <si>
    <t>1 1 4 3 002</t>
  </si>
  <si>
    <t>POR LA EXPEDICION O TRAMITACION DE CONSTANCIAS, CERTIFICACIONES, DUPLICADOS Y COPIAS</t>
  </si>
  <si>
    <t>1 1 4 3 002 002</t>
  </si>
  <si>
    <t>CONSTANCIA DE RESIDENCIA, PARA NACIONALES</t>
  </si>
  <si>
    <t>SECRETARÍA GRAL.</t>
  </si>
  <si>
    <t>1 1 4 3 002 003</t>
  </si>
  <si>
    <t>CONSTANCIA DE RESIDENCIA, TRANTANDOSE DE EXTRANJEROS</t>
  </si>
  <si>
    <t>1 1 4 3 002 005</t>
  </si>
  <si>
    <t>CONSTANCIA DE BUENA CONDUCTA</t>
  </si>
  <si>
    <t>1 1 4 3 002 007</t>
  </si>
  <si>
    <t>CONSTANCIA DE FACTIBILIDAD DE ACTIVIDAD O GIRO COMERCIAL, INDUSTRIAL O DE SERVICIOS, POR APERTURA</t>
  </si>
  <si>
    <t>1 1 4 3 002 010</t>
  </si>
  <si>
    <t>CERTIFICADO DE DEPENDENCIA ECONOMICA NACIONALES</t>
  </si>
  <si>
    <t>1 1 4 3 002 012</t>
  </si>
  <si>
    <t>CERTIFICADOS DE RECLUTAMIENTO MILITAR</t>
  </si>
  <si>
    <t>1 1 4 3 002 013</t>
  </si>
  <si>
    <t>CERTIFICACION DE DOCUMENTOS QUE ACREDITEN UN ACTO JURIDICO</t>
  </si>
  <si>
    <t>1 1 4 3 002 014</t>
  </si>
  <si>
    <t>CERTIFICACION DE FIRMAS</t>
  </si>
  <si>
    <t>1 1 4 3 002 015</t>
  </si>
  <si>
    <t>COPIAS CERTIFICADAS DE DATOS O DOCUMENTOS QUE OBREN EN LOS ARCHIVOS DEL AYUNTAMIENTO PREVIA SOLICITUD POR ESCRITO DEL INTERESADO</t>
  </si>
  <si>
    <t>1 1 4 3 002 016</t>
  </si>
  <si>
    <t>CUANDO EXCEDAN, POR CADA HOJA EXCEDENTE.</t>
  </si>
  <si>
    <t>1 1 4 3 002 019</t>
  </si>
  <si>
    <t>POR CAMBIO DE TITULAR</t>
  </si>
  <si>
    <t>1 1 4 3 002 023</t>
  </si>
  <si>
    <t>CONSTANCIAS, CERTIFICACIONES O COPIAS CERTIFICADAS NO PREVISTAS EN ESTE CAPÍTULO SIEMPRE Y CUANDO NO SE OPONGAN A LO DISPUESTO EN EL ARTICULO 10-A</t>
  </si>
  <si>
    <t>1 1 4 3 002 026</t>
  </si>
  <si>
    <t>CERT. SEG. PARA ESTABLEC. PEQUEÑO CON GRADO DE RIESGO BAJO</t>
  </si>
  <si>
    <t>PROTECC. CIVIL</t>
  </si>
  <si>
    <t>1 1 4 3 002 027</t>
  </si>
  <si>
    <t>CERT. SEG. PARA ESTABLEC. PEQUEÑO CON GRADO DE RIESGO MEDIO</t>
  </si>
  <si>
    <t>1 1 4 3 002 028</t>
  </si>
  <si>
    <t>REZAGOS DE GIROS COMERCIALES</t>
  </si>
  <si>
    <t>1 1 4 3 003</t>
  </si>
  <si>
    <t>DERECHOS POR COPIAS DE PLANOS, AVALUOS, Y SERVICIOS CATASTRALES</t>
  </si>
  <si>
    <t>1 1 4 3 003 001</t>
  </si>
  <si>
    <t>CONSTANCIA DE NO ADEUDO DEL IMPUESTO PREDIAL</t>
  </si>
  <si>
    <t>1 1 4 3 003 002</t>
  </si>
  <si>
    <t>CONSTANCIA DE NO PROPIEDAD Y DE PROPIEDAD</t>
  </si>
  <si>
    <t>1 1 4 3 003 003</t>
  </si>
  <si>
    <t>CONSTANCIA DE FACTIBILIDAD DE USO DE SUELO</t>
  </si>
  <si>
    <t>1 1 4 3 003 004</t>
  </si>
  <si>
    <t>CONSTANCIA DE NO AFECTACION</t>
  </si>
  <si>
    <t>1 1 4 3 003 005</t>
  </si>
  <si>
    <t>CONSTANCIA DE NUMERO OFICIAL</t>
  </si>
  <si>
    <t>1 1 4 3 003 012</t>
  </si>
  <si>
    <t>CERTIFICADO DEL VALOR FISCAL DEL PREDIO</t>
  </si>
  <si>
    <t>1 1 4 3 003 013</t>
  </si>
  <si>
    <t>CERTIFICACION DE PLANOS PARA LA AUTORIZACION DE LA SUBDIVISION DE PREDIOS  O PARA EL ESTABLECIMIENTO DE FRACCIONAMIENTOS</t>
  </si>
  <si>
    <t>1 1 4 3 003 014</t>
  </si>
  <si>
    <t>CERTIFICACION DE SUPERFICIE CATASTRAL DE UN PREDIO</t>
  </si>
  <si>
    <t>1 1 4 3 003 015</t>
  </si>
  <si>
    <t>CERTIFICADO DE REGISTRO EN EL PADRON  CATASTRAL A NOMBRE DEL PROPIETARIO O POSEEDOR DE UN PREDIO</t>
  </si>
  <si>
    <t>1 1 4 3 003 017</t>
  </si>
  <si>
    <t>CERTIFICADOS CATASTRALES DE INSCRIPCION, A LOS QUE EXPIDAN POR LA ADQUISICION DE INMUEBLES, A) HASTA $10,791.00, SE COBRARAN</t>
  </si>
  <si>
    <t>1 1 4 3 003 018</t>
  </si>
  <si>
    <t>CERTIFICADOS CATASTRALES DE INSCRIPCION, A LOS QUE EXPIDAN POR LA ADQUISICION DE INMUEBLES, B) HASTA $ 21,582.00, SE COBRARAN</t>
  </si>
  <si>
    <t>1 1 4 3 003 019</t>
  </si>
  <si>
    <t>CERTIFICADOS CATASTRALES DE INSCRIPCION, A LOS QUE EXPIDAN POR LA ADQUISICION DE INMUEBLES, C) HASTA $43,164.00, SE COBRARAN</t>
  </si>
  <si>
    <t>1 1 4 3 003 020</t>
  </si>
  <si>
    <t>CERTIFICADOS CATASTRALES DE INSCRIPCION, A LOS QUE EXPIDAN POR LA ADQUISICION DE INMUEBLES, D) HASTA $86,328.00, SE COBRARAN</t>
  </si>
  <si>
    <t>1 1 4 3 003 021</t>
  </si>
  <si>
    <t>CERTIFICADOS CATASTRALES DE INSCRIPCION, A LOS QUE EXPIDAN POR LA ADQUISICION DE INMUEBLES, E) DE MAS DE $86,328.00 SE COBRARAN</t>
  </si>
  <si>
    <t>1 1 4 3 003 022</t>
  </si>
  <si>
    <t>DUPLICADOS AUTOGRAFOS AL CARBON DE LOS MISMOS DOCUMENTOS</t>
  </si>
  <si>
    <t>1 1 4 3 003 032</t>
  </si>
  <si>
    <t>POR EL APEO Y DESLINDE ADMINISTRATIVO, SE PAGARA LO EQUIVALENTE AL SUELDO CORRESPONDIENTE DEL INGENIERO TOPOGRAFO</t>
  </si>
  <si>
    <t>1 1 4 3 003 033</t>
  </si>
  <si>
    <t>POR LOS PLANOS DE DESLINDE CATASTRAL</t>
  </si>
  <si>
    <t>1 1 4 3 003 0__</t>
  </si>
  <si>
    <t>POR LOS PLANOS DE DESLINDE CATASTRAL TRATANDOSE DE PREDIOS RUSTICOS CUANDO SEA DE MENOS DE UNA HECTAREA</t>
  </si>
  <si>
    <t>1 1 4 3 003 034</t>
  </si>
  <si>
    <t>POR LOS PLANOS DE DESLINDE CATASTRAL TRATANDOSE DE PREDIOS RUSTICOS CUANDO SEA DE MAS DE UNA HECTAREA</t>
  </si>
  <si>
    <t>1 1 4 3 003 035</t>
  </si>
  <si>
    <t>POR LOS PLANOS DE DESLINDE CATASTRAL TRATANDOSE DE PREDIOS RUSTICOS CUANDO SEA DE MAS DE 5 Y HASTA 10 HECTAREAS</t>
  </si>
  <si>
    <t>1 1 4 3 003 036</t>
  </si>
  <si>
    <t>POR LOS PLANOS DE DESLINDE CATASTRAL TRATANDOSE DE PREDIOS RUSTICOS CUANDO SEA DE MAS DE 10 Y HASTA 20 HECTAREAS</t>
  </si>
  <si>
    <t>1 1 4 3 003 040</t>
  </si>
  <si>
    <t>POR LOS PLANOS DE DESLINDE CATASTRAL TRATANDOSE DE PREDIOS URBANOS BALDIOS CUANDO LA SUPERFICIE SEA DE HASTA 150M2</t>
  </si>
  <si>
    <t>1 1 4 3 003 041</t>
  </si>
  <si>
    <t>POR LOS PLANOS DE DESLINDE CATASTRAL TRATANDOSE DE PREDIOS URBANOS BALDIOS CUANDO LA SUPERFICIE SEA DE MAS DE 150M2 HASTA 500M2</t>
  </si>
  <si>
    <t>1 1 4 3 003 042</t>
  </si>
  <si>
    <t>POR LOS PLANOS DE DESLINDE CATASTRAL TRATANDOSE DE PREDIOS URBANOS BALDIOS CUANDO LA SUPERFICIE SEA DE MAS DE 1000M2</t>
  </si>
  <si>
    <t>1 1 4 3 003 043</t>
  </si>
  <si>
    <t>POR LOS PLANOS DE DESLINDE CATASTRAL TRATANDOSE DE PREDIOS URBANOS CONSTRUIDOS CUANDO LA SUPERFICIE SEA DE HASTA 150M2</t>
  </si>
  <si>
    <t>1 1 4 3 003 044</t>
  </si>
  <si>
    <t>POR LOS PLANOS DE DESLINDE CATASTRAL TRATANDOSE DE PREDIOS URBANOS CONSTRUIDOS CUANDO LA SUPERFICIE SEA DE MAS DE 150M2 HASTA 500M2</t>
  </si>
  <si>
    <t>1 1 4 3 003 045</t>
  </si>
  <si>
    <t>POR LOS PLANOS DE DESLINDE CATASTRAL TRATANDOSE DE PREDIOS URBANOS CONSTRUIDOS CUANDO LA SUPERFICIE SEA DE MAS DE 500M2 HASTA 1000M2</t>
  </si>
  <si>
    <t>1 1 4 3 003 049</t>
  </si>
  <si>
    <t>CERTIFICACION DE PLANOS QUE TENGAN  QUE SURTIR EFECTOS ANTE LA DIRECCION DE DESARROLLO URBANO</t>
  </si>
  <si>
    <t>1 1 4 3 003 051</t>
  </si>
  <si>
    <t>DERECHOS DE ESCRITURACION</t>
  </si>
  <si>
    <t>1 1 4 3 003 051 001</t>
  </si>
  <si>
    <t>LOTES HASTA DE 120.01 HASTA 250 MTS. CUADRADOS</t>
  </si>
  <si>
    <t>1 1 4 3 003 051 002</t>
  </si>
  <si>
    <t>LOTES HASTA 120.00 MTS. CUADRADOS</t>
  </si>
  <si>
    <t>1 1 4 3 004</t>
  </si>
  <si>
    <t>SERVICIOS DE LIMPIA, ASEO PUBLICO, RECOLECCION, TRASLADO, TRATAMIENTO Y DISPOSICION FINAL DE RESIDUOS</t>
  </si>
  <si>
    <t>1 1 4 3 004 006</t>
  </si>
  <si>
    <t>POR LA PODA DE ARBOLES Y ARBUSTOS</t>
  </si>
  <si>
    <t>CONTROL AMBIENTAL</t>
  </si>
  <si>
    <t>1 1 4 3 005</t>
  </si>
  <si>
    <t>LICENCIAS PERMISOS DE CIRCULACION Y REPOSICION DE DOCUMENTOS DE TRANSITO</t>
  </si>
  <si>
    <t>1 1 4 3 005 001</t>
  </si>
  <si>
    <t>LICENCIAS PARA MANEJAR</t>
  </si>
  <si>
    <t>1 1 4 3 005 001 001</t>
  </si>
  <si>
    <t>LICENCIA PARA MANEJAR, CHOFER  5 AÑOS</t>
  </si>
  <si>
    <t xml:space="preserve">LICENCIAS </t>
  </si>
  <si>
    <t>1 1 4 3 005 001 002</t>
  </si>
  <si>
    <t>LICENCIA PARA MANEJAR, CHOFER  3 AÑOS</t>
  </si>
  <si>
    <t>1 1 4 3 005 001 003</t>
  </si>
  <si>
    <t>LICENCIA PARA MANEJAR, AUTOMOVILISTA  5 AÑOS</t>
  </si>
  <si>
    <t>1 1 4 3 005 001 004</t>
  </si>
  <si>
    <t>LICENCIA PARA MANEJAR, AUTOMOVILISTA  3 AÑOS</t>
  </si>
  <si>
    <t>1 1 4 3 005 001 005</t>
  </si>
  <si>
    <t>LICENCIA PARA MANEJAR, MOTOCICLISTA, MOTONETAS O SIMILARES 5 AÑOS</t>
  </si>
  <si>
    <t>1 1 4 3 005 001 006</t>
  </si>
  <si>
    <t>LICENCIA PARA MANEJAR, MOTOCICLISTA, MOTONETAS O SIMILARES 3 AÑOS</t>
  </si>
  <si>
    <t>1 1 4 3 005 001 007</t>
  </si>
  <si>
    <t>DUPLICADO DE LICENCIA POR EXTRAVIO 5 AÑOS PARA CHOFER Y AUTOMOVILISTA</t>
  </si>
  <si>
    <t>1 1 4 3 005 001 008</t>
  </si>
  <si>
    <t>DUPLICADO DE LICENCIA POR EXTRAVIO 5 AÑOS PARA MOTOCICLISTA, MOTONETAS Y SIMILARES</t>
  </si>
  <si>
    <t>1 1 4 3 005 001 009</t>
  </si>
  <si>
    <t>PERMISO PARA MENORES DE EDAD HASTA POR 6 MESES</t>
  </si>
  <si>
    <t>1 1 4 3 005 001 010</t>
  </si>
  <si>
    <t>DUPLICADO DE LICENCIA POR EXTRAVIO PARA CHOFER Y AUTOMOVILISTA</t>
  </si>
  <si>
    <t>1 1 4 3 005 001 011</t>
  </si>
  <si>
    <t>DUPLICADO DE LICENCIA POR EXTRAVIO PARA MOTOCICLISTA, MOTONETAS Y SIMILARES</t>
  </si>
  <si>
    <t>1 1 4 3 005 001 012</t>
  </si>
  <si>
    <t>PERMISO HASTA POR 6 MESES P/MENORES DE 18 AÑOS DE EDAD Y MAYORES DE 16 AÑOS, UNICAMENTE PARA AUTOMOVILES, MOTOCICLETAS, MOTONETAS O SIMILARES, DE USO PARTICULAR</t>
  </si>
  <si>
    <t>1 1 4 3 005 002</t>
  </si>
  <si>
    <t>OTROS SERVICIOS</t>
  </si>
  <si>
    <t>1 1 4 3 005 002 001</t>
  </si>
  <si>
    <t>PERMISO PROVISIONAL PARA CIRCULAR SIN PLACAS POR 30 DIAS (VALIDEZ NACIONAL)</t>
  </si>
  <si>
    <t>1 1 4 3 005 002 002</t>
  </si>
  <si>
    <t>PERMISO PROVISIONAL PARA CIRCULAR SIN PLACAS POR 30 DIAS (VALIDEZ MUNICIPAL)</t>
  </si>
  <si>
    <t>1 1 4 3 005 002 003</t>
  </si>
  <si>
    <t>PERMISO PROVISIONAL POR 30 DIAS PARA TRANSPORTAR MATERIAL Y RESIDUOS PELIGROSOS</t>
  </si>
  <si>
    <t>1 1 4 3 005 002 006</t>
  </si>
  <si>
    <t>PERMISO PROVISIONAL DE CARGA</t>
  </si>
  <si>
    <t>1 1 4 3 005 002 010</t>
  </si>
  <si>
    <t>REEXPED. DE PERMISO PROVISIONAL PARA CIRCULAR SIN PLACA POR 30 DIAS</t>
  </si>
  <si>
    <t>1 1 4 3 005 002 011</t>
  </si>
  <si>
    <t>PERMISO PROVISIONAL MOTOCICLISTA X 30 DIAS PARA CIRCULAR SIN PLACAS</t>
  </si>
  <si>
    <t>1 1 4 3 005 002 012</t>
  </si>
  <si>
    <t>PERMISO PROVISIONAL PARA TRASLADO DE VEHICULOS NUEVOS POR 24 HORAS</t>
  </si>
  <si>
    <t>1 1 4 3 005 002 013</t>
  </si>
  <si>
    <t>EXP. DE PERMISO PROVICIONAL P/TRANSP. DE CARGA X 30 DIAS DE PART. NO MATERIAL PELIGROSO</t>
  </si>
  <si>
    <t>1 1 4 3 005 002 014</t>
  </si>
  <si>
    <t>EVALUACION TEORICO DE MANEJO PARA LA EMISION DE LICENCIA DE CONDUCIR DE CHOFER Y AUTOMOVILISTA</t>
  </si>
  <si>
    <t>1 1 4 3 005 002 015</t>
  </si>
  <si>
    <t>DESCUENTO DE INFRACCIONES DE TRANSITO MUNICIPAL</t>
  </si>
  <si>
    <t>1 1 4 3 005 002 016</t>
  </si>
  <si>
    <t>INEXISTENCIA DE INFRACCIONES LOCALES MUNICIPALES DE TRANSITO</t>
  </si>
  <si>
    <t>1 1 4 3 005 002 017</t>
  </si>
  <si>
    <t>CONSTANCIA DE AUTENTICIDAD DE LICENCIA DE CONDUCIR</t>
  </si>
  <si>
    <t>1 1 4 3 006</t>
  </si>
  <si>
    <t>EXPEDICION INICIAL O REFRENDO DE LICENCIAS, PERMISOS Y AUTORIZACIONES PARA EL FUNCIONAMIENTO DE ESTABLECIMIENTOS O LOCALES CUYOS GIROS SEAN LA ENAJENACION DE BEBIDAS ALCOHOLICAS O LA PRESTACION DE SERVICIOS QUE INCLUYAN SU EXPENDIO</t>
  </si>
  <si>
    <t>1 1 4 3 006 001</t>
  </si>
  <si>
    <t>ENAJENACION</t>
  </si>
  <si>
    <t>1 1 4 3 006 001 001</t>
  </si>
  <si>
    <t>POR EXPED. INIC.O REF. DE LIC. COMERC. EN LOC. UBIC. FUERA DE MERCADOS.</t>
  </si>
  <si>
    <t>1 1 4 3 006 001 002</t>
  </si>
  <si>
    <t>POR EXPED. INIC.O REF. DE LIC. COMERC. EN LOC. UBIC. DENTRO DE MERCADOS</t>
  </si>
  <si>
    <t>1 1 4 3 006 001 009</t>
  </si>
  <si>
    <t>POR EXPEDICION DE LICENCIA COMERCIAL, MISCELANEAS, TENDAJONES, OASIS  CON VENTA DE BEBIDAS ALCOHOLICAS EN BOTELLA CERRADA PARA LLEVAR</t>
  </si>
  <si>
    <t>1 1 4 3 006 001 010</t>
  </si>
  <si>
    <t>POR REFRENDO DE LICENCIA COMERCIAL, MISCELANEAS, TENDAJONES, OASIS  CON VENTA DE BEBIDAS ALCOHOLICAS EN BOTELLA CERRADA PARA LLEVAR</t>
  </si>
  <si>
    <t>1 1 4 3 006 001 012</t>
  </si>
  <si>
    <t>POR EL REFRENDO DE LICENCIA EN LOCALES DENTRO DEL MERCADO, ABARROTES EN GENERAL CON VENTA DE BEBIDAS ALCOHOLICAS</t>
  </si>
  <si>
    <t>1 1 4 3 006 001 014</t>
  </si>
  <si>
    <t>POR EL REFRENDO DE LICENCIA EN LOCALES DENTRO DEL MERCADO, BODEGAS CON ACTIVIDAD COMERCIAL Y VENTA DE BEBIDAS ALCOHOLICAS</t>
  </si>
  <si>
    <t>1 1 4 3 006 001 015</t>
  </si>
  <si>
    <t>SUPERMERCADOS, TIENDAS DEPARTAMENTALES Y AUTOSERVICIO, DE HASTA 1500 M2 DE CONSTRUCCIÓN</t>
  </si>
  <si>
    <t>1 1 4 3 006 001 016</t>
  </si>
  <si>
    <t xml:space="preserve">SUPERMERCADOS, TIENDAS DEPARTAMENTALES Y AUTOSERVICIO, DE 1501 M2 EN ADELANTE  DE CONSTRUCCIÓN </t>
  </si>
  <si>
    <t>1 1 4 3 006 001 017</t>
  </si>
  <si>
    <t>DEPÓSITO DE CERVEZA Y/O VINATERIAS</t>
  </si>
  <si>
    <t>1 1 4 3 006 001 019</t>
  </si>
  <si>
    <t>OTROS NO ESP. EXP. DE LICENCIA</t>
  </si>
  <si>
    <t>1 1 4 3 006 001 021</t>
  </si>
  <si>
    <t>LOCAL PEQUEÑO CON MEDIDAS DE 1 A 6 M2</t>
  </si>
  <si>
    <t>1 1 4 3 006 001 022</t>
  </si>
  <si>
    <t>LOCAL MEDIANO CON MEDIDAS DE 7 A 13 M2</t>
  </si>
  <si>
    <t>1 1 4 3 006 001 023</t>
  </si>
  <si>
    <t>LOCAL GRANDE DE 13 M2 EN ADELANTE</t>
  </si>
  <si>
    <t>1 1 4 3 006 001 024</t>
  </si>
  <si>
    <t>FRANQUICIAS Y CADENAS COMERCIALES</t>
  </si>
  <si>
    <t>1 1 4 3 006 002</t>
  </si>
  <si>
    <t>PRESTACION DE SERVICIOS</t>
  </si>
  <si>
    <t>1 1 4 3 006 002 001</t>
  </si>
  <si>
    <t>EXPEDICION  DE LICENCIA , BARES</t>
  </si>
  <si>
    <t>1 1 4 3 006 002 002</t>
  </si>
  <si>
    <t>REFRENDO  DE LICENCIA , BARES</t>
  </si>
  <si>
    <t>1 1 4 3 006 002 008</t>
  </si>
  <si>
    <t>REFRENDO  DE LICENCIA , CASAS DE DIVERSION PARA ADULTOS, CENTROS NOCTURNOS</t>
  </si>
  <si>
    <t>1 1 4 3 006 002 009</t>
  </si>
  <si>
    <t>EXPEDICION  DE LICENCIA, DISCOTECAS</t>
  </si>
  <si>
    <t>1 1 4 3 006 002 010</t>
  </si>
  <si>
    <t>REFRENDO  DE LICENCIA, DISCOTECAS</t>
  </si>
  <si>
    <t>1 1 4 3 006 002 011</t>
  </si>
  <si>
    <t>EXPEDICION DE LICENCIA, POZOLERIAS, CEVICHERIAS, OSTIONERIAS Y SIMILARES CON VENTA DE BEBIDAS ALCOHOLICAS CON LOS ALIMENTOS</t>
  </si>
  <si>
    <t>1 1 4 3 006 002 012</t>
  </si>
  <si>
    <t>REFRENDO DE LICENCIA, POZOLERIAS, CEVICHERIAS, OSTIONERIAS Y SIMILARES CON VENTA DE BEBIDAS ALCOHOLICAS CON LOS ALIMENTOS</t>
  </si>
  <si>
    <t>1 1 4 3 006 002 013</t>
  </si>
  <si>
    <t>EXPEDICION DE LICENCIA, FONDAS, LONCHERIAS, TAQUERIAS, TORTERIAS, ANTOJERIAS Y SIMILARES CON VENTA DE BEBIDAS ALCOHOLICAS CON LOS ALIMENTOS</t>
  </si>
  <si>
    <t>1 1 4 3 006 002 014</t>
  </si>
  <si>
    <t>REFRENDO DE LICENCIA, FONDAS, LONCHERIAS, TAQUERIAS, TORTERIAS, ANTOJERIAS Y SIMILARES CON VENTA DE BEBIDAS ALCOHOLICAS CON LOS ALIMENTOS</t>
  </si>
  <si>
    <t>1 1 4 3 006 002 015</t>
  </si>
  <si>
    <t>EXPEDICION DE LICENCIA, RESTAURANTES CON SERVICIO DE BAR</t>
  </si>
  <si>
    <t>1 1 4 3 006 002 016</t>
  </si>
  <si>
    <t>REFRENDO DE LICENCIA, RESTAURANTES CON SERVICIO DE BAR</t>
  </si>
  <si>
    <t>1 1 4 3 006 002 017</t>
  </si>
  <si>
    <t>EXPEDICION DE LICENCIA, RESTAURANTES CON VENTA DE BEBIDAS ALCOHOLICAS EXCLUSIVAMENTE CON ALIMENTOS</t>
  </si>
  <si>
    <t>1 1 4 3 006 002 018</t>
  </si>
  <si>
    <t>REFRENDO DE LICENCIA, RESTAURANTES CON VENTA DE BEBIDAS ALCOHOLICAS EXCLUSIVAMENTE CON ALIMENTOS</t>
  </si>
  <si>
    <t>1 1 4 3 006 002 019</t>
  </si>
  <si>
    <t>EXPEDICION DE LICENCIA, BILLARES CON VENTA DE BEBIDAS ALCOHOLICAS</t>
  </si>
  <si>
    <t>1 1 4 3 006 002 021</t>
  </si>
  <si>
    <t>VERIFICACION DE PROTECCION CIVIL TIENDAS DEPARTAMENTALES</t>
  </si>
  <si>
    <t>1 1 4 3 006 003</t>
  </si>
  <si>
    <t>POR CUALQUIER MODIFICACION QUE SUFRA LA LICENCIA O EMPADRONAMIENTO DE LOCALES ESTABLECIDOS FUERA DEL MERCADO MUNICIPAL, PREVIA AUTORIZACION DEL PRESIDENTE MUNICIPAL</t>
  </si>
  <si>
    <t>1 1 4 3 006 003 001</t>
  </si>
  <si>
    <t>CAMBIO DE DOMICILIO</t>
  </si>
  <si>
    <t>1 1 4 3 007</t>
  </si>
  <si>
    <t>POR LICENCIAS, PERMISOS O AUTORIZACIONES PARA LA COLOCACION DE ANUNCIOS O CARTELES Y LA REALIZACION DE PUBLICIDAD</t>
  </si>
  <si>
    <t>1 1 4 3 007 001</t>
  </si>
  <si>
    <t>1 1 4 3 007 001 001</t>
  </si>
  <si>
    <t>ANUNCIOS COMERCIALES O CARTELES EN FACHADAS, MUROS PAREDES O BARDAS, HASTA 5 M2</t>
  </si>
  <si>
    <t>1 1 4 3 007 006</t>
  </si>
  <si>
    <t>POR ANUNCIOS TRANSITORIOS POR MEDIO DE PROPAGANDA EN TABLEROS, VOLANTES Y DEMAS FORMAS SIMILARES</t>
  </si>
  <si>
    <t>1 1 4 3 007 006 001</t>
  </si>
  <si>
    <t>PROMOCIONES DE PROPAGANDA COMERCIAL MEDIANTE CARTULINAS VOLANTES Y SIMILARES</t>
  </si>
  <si>
    <t>1 1 4 3 007 007</t>
  </si>
  <si>
    <t>POR PERIFONEO</t>
  </si>
  <si>
    <t>1 1 4 3 007 007 001</t>
  </si>
  <si>
    <t>AMBULANTE, POR MENSUALIDAD</t>
  </si>
  <si>
    <t>1 1 4 3 007 007 003</t>
  </si>
  <si>
    <t>AMBULANTE, EVENTO ANUNCIADO</t>
  </si>
  <si>
    <t>1 1 4 3 007 007 006</t>
  </si>
  <si>
    <t>FIJO, POR EVENTO ANUNCIADO</t>
  </si>
  <si>
    <t>1 1 4 3 008</t>
  </si>
  <si>
    <t>REGISTRO CIVIL</t>
  </si>
  <si>
    <t>1 1 4 3 008 001</t>
  </si>
  <si>
    <t>POR ADMINISTRACION DEL REGISTRO CIVIL</t>
  </si>
  <si>
    <t>1 1 4 3 008 001 001</t>
  </si>
  <si>
    <t>REGISTROS DE NACIMIENTO</t>
  </si>
  <si>
    <t>1 1 4 3 008 001 001 001</t>
  </si>
  <si>
    <t>REGISTRO DE NACIMIENTO DE 1 DIA DE NACIDO HASTA 1 AÑO</t>
  </si>
  <si>
    <t>1 1 4 3 008 001 001 002</t>
  </si>
  <si>
    <t>REGISTRO DE NACIMIENTO DE 1 AÑO 1 DIA DE NACIDO HASTA LOS 7 AÑOS 11 MESES</t>
  </si>
  <si>
    <t>1 1 4 3 008 001 001 003</t>
  </si>
  <si>
    <t>REGISTRO DE NACIMIENTO EXTEMPORANEO DESPUES DE LOS 7 AÑOS 11 MESES 1 DIA DE EDAD, CON AUTORIZACION ADMINISTRATIVA O INFORMACION TESTIMONIAL</t>
  </si>
  <si>
    <t>1 1 4 3 008 001 002</t>
  </si>
  <si>
    <t>REGISTRO DE LEGITIMACION Y RECONOCIMIENTO DE HIJOS</t>
  </si>
  <si>
    <t>1 1 4 3 008 001 004</t>
  </si>
  <si>
    <t>MATRIMONIOS</t>
  </si>
  <si>
    <t>1 1 4 3 008 001 004 001</t>
  </si>
  <si>
    <t>EN LA OFICINA ENTRE NACIONALES</t>
  </si>
  <si>
    <t>1 1 4 3 008 001 004 002</t>
  </si>
  <si>
    <t>A DOMICILIO</t>
  </si>
  <si>
    <t>1 1 4 3 008 001 004 003</t>
  </si>
  <si>
    <t>ENTRE EXTRANJEROS EN LA OFICINA</t>
  </si>
  <si>
    <t>1 1 4 3 008 001 005</t>
  </si>
  <si>
    <t>REGISTROS DE DIVORCIO</t>
  </si>
  <si>
    <t>1 1 4 3 008 001 005 001</t>
  </si>
  <si>
    <t>DIVORCIO JUDICIAL ENTRE NACIONALES</t>
  </si>
  <si>
    <t>1 1 4 3 008 001 005 003</t>
  </si>
  <si>
    <t>DIVORCIO ADMINISTRATIVO ENTRE NACIONALES</t>
  </si>
  <si>
    <t>1 1 4 3 008 001 007</t>
  </si>
  <si>
    <t>REGISTRO DE INSCRIPCION</t>
  </si>
  <si>
    <t>1 1 4 3 008 001 009</t>
  </si>
  <si>
    <t>OTROS: NO CAUSAN IMPUESTOS ADICIONALES LOS CONCEPTO DEL INCISO 1 DEL ART. 84 DE LA LEY DE HACIENDA DEL ESTADO</t>
  </si>
  <si>
    <t>1 1 4 3 008 001 009 001</t>
  </si>
  <si>
    <t>EXPEDICION DE ACTAS CERTIFICADAS</t>
  </si>
  <si>
    <t>1 1 4 3 008 001 009 002</t>
  </si>
  <si>
    <t>CONSTANCIAS DE INEXISTENCIA DEL REGISTRO</t>
  </si>
  <si>
    <t>1 1 4 3 008 001 009 003</t>
  </si>
  <si>
    <t>BUSQUEDAS</t>
  </si>
  <si>
    <t>1 1 4 3 008 001 009 005</t>
  </si>
  <si>
    <t>ANOTACIONES MARGINALES DE ACTAS DE REGISTRO CIVIL</t>
  </si>
  <si>
    <t>1 1 4 3 008 001 009 009</t>
  </si>
  <si>
    <t>OTROS SERVICIOS NO EXPECIFICADOS</t>
  </si>
  <si>
    <t>1 1 4 3 008 001 009 010</t>
  </si>
  <si>
    <t>CUALQUIER OTRA CERTIFICACION QUE SE EXPIDA DISTINTA DE LAS EXPRESADAS</t>
  </si>
  <si>
    <t>1 1 4 3 009</t>
  </si>
  <si>
    <t>SERVICIOS MUNICIPALES DE SALUD</t>
  </si>
  <si>
    <t>1 1 4 3 010 003</t>
  </si>
  <si>
    <t>OTROS SERVICIOS MEDICOS</t>
  </si>
  <si>
    <t>1 1 4 3 010 00</t>
  </si>
  <si>
    <t xml:space="preserve">CERTIFICADO DE SALUD </t>
  </si>
  <si>
    <t>1 1 4 3 010</t>
  </si>
  <si>
    <t>EXPEDICIÓN INICIAL O REFRENDO DE LICENCIAS. PERMISOS Y AUTORIZACIONES PARA EL FUNCIONAMIENTO DE ESTABLECIMIENTOS O LOCALES CUYOS GIROS NO INCLUYAN LA VENTA O DISTRIBUCIÓN DE BEBIDAS ALCOHÓLICAS</t>
  </si>
  <si>
    <t>1 1 4 3 010 001</t>
  </si>
  <si>
    <t>Local pequeño con medidas de 1 a 6 m2 se cobrará</t>
  </si>
  <si>
    <t>1 1 4 3 010 002</t>
  </si>
  <si>
    <t>Local mediano con medidas de 7 a 13 m2 se cobrará</t>
  </si>
  <si>
    <t>Local grande de 13 m2 en adelante se cobrará</t>
  </si>
  <si>
    <t>1 1 4 3 010 004</t>
  </si>
  <si>
    <t>Franquicias y cadenas comerciales se cobrará</t>
  </si>
  <si>
    <t>1 1 4 3 011</t>
  </si>
  <si>
    <t>1 1 4 3 011 001</t>
  </si>
  <si>
    <t>LOTES HASTA 120 Mts CUADRADOS</t>
  </si>
  <si>
    <t>1 1 4 3 011 002</t>
  </si>
  <si>
    <t>LOTES DE 120.01 HASTA 250 Mts CUADRADOS</t>
  </si>
  <si>
    <t>1 1 4 3 012</t>
  </si>
  <si>
    <t>SERVS. PREST. POR DIR, DE PROT. CIVIL Y BOMBEROS</t>
  </si>
  <si>
    <t>1 1 4 3 012 001</t>
  </si>
  <si>
    <t>CERTIF. DE REVISION DE SEGURIDAD Y OPERACIÓN</t>
  </si>
  <si>
    <t>1 1 4 3 012 002</t>
  </si>
  <si>
    <t>CERTIF. PARA TIENDAS DEPART. Y DE AUTOSERVICIO</t>
  </si>
  <si>
    <t>1 1 4 3 012 003</t>
  </si>
  <si>
    <t>CONST. DE SEGURIDAD EN INST. EDUCATIVAS</t>
  </si>
  <si>
    <t>1 1 4 3 012 004</t>
  </si>
  <si>
    <t>CONST. DE CUMPLIMIENTO DE MED. DE SEGURIDAD EN EQUIPOS DE PROTECIÓN PARA TRABAJADORES</t>
  </si>
  <si>
    <t>1 1 4 3 012 005</t>
  </si>
  <si>
    <t>CONST. DE FUNCIONALIDAD PARA PROGRAMAS INTERNOS O PLANES DE CONTINGENCIA</t>
  </si>
  <si>
    <t>1 1 4 3 012 006</t>
  </si>
  <si>
    <t>EXP. DE DICTÁMENES TÉCNICOS DIVERSOS, SEGÚN COMPLEJIDAD</t>
  </si>
  <si>
    <t>1 1 4 3 012 007</t>
  </si>
  <si>
    <t>PERMISOS PARA QUEMA DE ARTIFICIOS PIROTÉCNICOS</t>
  </si>
  <si>
    <t>1 1 4 3 012 008</t>
  </si>
  <si>
    <t>AUT. PARA LA REALIZACIÓN DE EVENTOS DE CONCENTRACIÓN MASIVA POR EVENTO</t>
  </si>
  <si>
    <t>1 1 4 3 012 009</t>
  </si>
  <si>
    <t>SERV. DE ASISTENCIA Y SUPERV. EN EVENTOS CON AFORO MAYOR A 100 PERS. POR EVENTO</t>
  </si>
  <si>
    <t>1 1 4 3 012 010</t>
  </si>
  <si>
    <t>CURSOS DE CAPACIT. EN MATERIA DE SEGURIDAD Y PREV. DE RIESGOS, POR PERSONA, POR DÍA</t>
  </si>
  <si>
    <t>1 1 4 3 012 011</t>
  </si>
  <si>
    <t>SERVS. DE PODA DE ÁRBOLES POR RIESGO</t>
  </si>
  <si>
    <t>1 1 4 3 012 012</t>
  </si>
  <si>
    <t>HOTELES, MOTELES Y ALOJAMIENTOS TEMPORALES, CUOTA ANUAL SEGÚN # DE HABITACIONES</t>
  </si>
  <si>
    <t>1 1 4 4</t>
  </si>
  <si>
    <t>OTROS DERECHOS</t>
  </si>
  <si>
    <t>1 1 4 4 002</t>
  </si>
  <si>
    <t>PRO-BOMBEROS</t>
  </si>
  <si>
    <t>1 1 4 4 002 001</t>
  </si>
  <si>
    <t>1 1 4 4 004</t>
  </si>
  <si>
    <t>1 1 4 4 004 001</t>
  </si>
  <si>
    <t>POR VERIFICACION PARA ESTABLECIMIENTO DE UN NUEVO O AMPLIACION DE OBRAS, SERVICIOS, INDUSTRIA Y COMERCIO</t>
  </si>
  <si>
    <t>1 1 4 4 004 002</t>
  </si>
  <si>
    <t>POR PERMISOS PARA PODA DE ARBOL PUBLICO O PRIVADO</t>
  </si>
  <si>
    <t>1 1 4 4 004 003</t>
  </si>
  <si>
    <t>POR PERMISO POR DERRIBA DE ARBOL PUBLICO O PRIVADO, POR CM DE DIAMETRO</t>
  </si>
  <si>
    <t>1 1 4 4 004 004</t>
  </si>
  <si>
    <t>POR LICENCIA AMBIENTAL NO RESERVADA A LA FEDERACION</t>
  </si>
  <si>
    <t>1 1 4 4 004 006</t>
  </si>
  <si>
    <t>POR SOLICITUD DE REGISTRO DE DESCARGA DE AGUAS RESIDUALES</t>
  </si>
  <si>
    <t>1 1 4 4 004 010</t>
  </si>
  <si>
    <t>POR EXTRACCION DE FLORA NO RESERVADA A LA FEDERACION EN EL MUNICIPIO</t>
  </si>
  <si>
    <t>1 1 4 4 004 014</t>
  </si>
  <si>
    <t>POR DICTAMENES PARA CAMBIOS DE USO DE SUELO</t>
  </si>
  <si>
    <t>1 1 4 4 006</t>
  </si>
  <si>
    <t>1 1 4 4 006 001</t>
  </si>
  <si>
    <t>1 1 4 4 006 001 001</t>
  </si>
  <si>
    <t>DE PARTICULARES</t>
  </si>
  <si>
    <t>1 1 4 4 007</t>
  </si>
  <si>
    <t>REZAGOS DE DERECHOS</t>
  </si>
  <si>
    <t>1 1 4 4 007 001</t>
  </si>
  <si>
    <t>1 1 4 4 007 001 001</t>
  </si>
  <si>
    <t>REZAGO POR SERVICIO DE MANTENIMIENTO OSARIO, GUARDA Y CUSTODIA</t>
  </si>
  <si>
    <t>1 1 4 4 007 001 002</t>
  </si>
  <si>
    <t>1 1 4 4 007 001 003</t>
  </si>
  <si>
    <t>1 1 4 5</t>
  </si>
  <si>
    <t>ACCESORIO DE DERECHOS</t>
  </si>
  <si>
    <t>1 1 4 5 001</t>
  </si>
  <si>
    <t>1 1 4 5 001 001</t>
  </si>
  <si>
    <t>1 1 4 5 001 002</t>
  </si>
  <si>
    <t>1 1 4 5 001 003</t>
  </si>
  <si>
    <t>1 1 4 5 001 004</t>
  </si>
  <si>
    <t>1 1 4 5 001 005</t>
  </si>
  <si>
    <t>1 1 4 5 001 006</t>
  </si>
  <si>
    <t>RECARGOS MEDIO AMBIENTE Y ECOLOGIA</t>
  </si>
  <si>
    <t>1 1 4 9</t>
  </si>
  <si>
    <t>DERECHOS NO COMPRENDIDOS EN LA LEY DE INGRESOS VIGENTE, CAUSADOS EN EJERCICIOS FISCALES ANTERIORES DE LIQ. DE PAGO</t>
  </si>
  <si>
    <t>1 1 4 9 001</t>
  </si>
  <si>
    <t>1 1 4 9 001 001</t>
  </si>
  <si>
    <t>REZAGO POR SERV  DE MANTTO OSARIO, GUARDA Y CUSTODIA</t>
  </si>
  <si>
    <t>1 1 4 9 001 002</t>
  </si>
  <si>
    <t>1 1 4 9 001 003</t>
  </si>
  <si>
    <t>1 1 5</t>
  </si>
  <si>
    <t>PRODUCTOS</t>
  </si>
  <si>
    <t>1 1 5 1</t>
  </si>
  <si>
    <t>PRODUCTOS DE TIPO CORRIENTE</t>
  </si>
  <si>
    <t>1 1 5 1 001</t>
  </si>
  <si>
    <t>ARRENDAMIENTO</t>
  </si>
  <si>
    <t>1 1 5 1 001 001</t>
  </si>
  <si>
    <t>MERCADO CENTRAL</t>
  </si>
  <si>
    <t>1 1 5 1 001 005</t>
  </si>
  <si>
    <t>TIANGUIS EN ESPACIOS AUTORIZADOS POR EL AYUNTAMIENTO, DIARIAMENTE POR M2</t>
  </si>
  <si>
    <t>1 1 5 1 001 008</t>
  </si>
  <si>
    <t>SANITARIOS</t>
  </si>
  <si>
    <t>1 1 5 1 001 011</t>
  </si>
  <si>
    <t>RENTA DE MAQUINARIA PESADA</t>
  </si>
  <si>
    <t>1 1 5 1 001 013</t>
  </si>
  <si>
    <t>EXPLANADAS PLAZAS Y PLAZUELAS</t>
  </si>
  <si>
    <t>1 1 5 1 001 014</t>
  </si>
  <si>
    <t>REZAGO DE ARRENDAMIENTO MERCADO CENTRAL</t>
  </si>
  <si>
    <t>1 1 5 1 002</t>
  </si>
  <si>
    <t>POR LOTES EN POSESIÓN O ARRENDAMIENTO EN LOS CEMENTERIOS MUNICIPALES POR LA CONSTRUCCION DE FOSAS</t>
  </si>
  <si>
    <t>1 1 5 1 002 001</t>
  </si>
  <si>
    <t>FOSA EN POSESION POR M2., PRIMERA</t>
  </si>
  <si>
    <t>1 1 5 1 002 002</t>
  </si>
  <si>
    <t>FOSA EN POSESION POR M2., SEGUNDA</t>
  </si>
  <si>
    <t>1 1 5 1 002 003</t>
  </si>
  <si>
    <t>FOSA EN POSESION POR M2., TERCERA</t>
  </si>
  <si>
    <t>1 1 5 1 002 004</t>
  </si>
  <si>
    <t xml:space="preserve">FOSA EN ARRENDAMIENTO POR SIETE AÑOS POR M2, </t>
  </si>
  <si>
    <t>1 1 5 1 002 005</t>
  </si>
  <si>
    <t>NICHO EN POSESIÓN DE 30X30 DE FRENTE POR 60 CMS DE FONDO</t>
  </si>
  <si>
    <t>1 1 5 1 002 007</t>
  </si>
  <si>
    <t>ARRENDAMIENTO POR UN AÑO NICHO DE 30X30 DE FRENTE POR 60 CMS DE FONDO</t>
  </si>
  <si>
    <t>1 1 5 1 002 008</t>
  </si>
  <si>
    <t>ARRENDAMIENTO POR CINCO AÑOS NICHO DE 30X30 DE FRENTE POR 60 CMS DE FONDO</t>
  </si>
  <si>
    <t>1 1 5 1 003</t>
  </si>
  <si>
    <t>OCUPACION O APROVECHAMIENTO DE LA VIA PUBLICA</t>
  </si>
  <si>
    <t>1 1 5 1 003 001</t>
  </si>
  <si>
    <t>ESTACIONAMIENTO DE VEHICULOS EN EN ZONAS URBANAS, DE 8:00 A LAS 21:00 HORAS, EXCEPTO DOMINGO Y DIAS FESTIVOS, POR CADA 3 MINUTOS</t>
  </si>
  <si>
    <t>1 1 5 1 003 002</t>
  </si>
  <si>
    <t>ESTACIONAMIENTO DE TRANSPORTE PUBLICO EN LUGARES PERMITIDOS, SE PAGARA MENSUALMENTE, URBAN O PESEROS</t>
  </si>
  <si>
    <t>1 1 5 1 003 006</t>
  </si>
  <si>
    <t>EN LOS ESTACIONAMIENTOS EXCLUSIVOS EN LA VIA PUBLICA, LOS AUTOMOVILES DE ALQUILER, CAMIONETAS DE SERVICIO PUBLICO, MENSUALMENTE</t>
  </si>
  <si>
    <t>1 1 5 1 003 007</t>
  </si>
  <si>
    <t>LOS ESTABLECIMIENTOS EXCLUSIVOS PARA CARGA Y DESCARGA DE ESTABLECIMIENTOS COMERCIALES, INDUSTRIALES Y AGRICOLAS PAGARAN SEGUN SU UBICACION, CENTRO DE CABECERA MUNICIPAL</t>
  </si>
  <si>
    <t>1 1 5 1 003 013</t>
  </si>
  <si>
    <t>LOS ESTACIONAMIENTOS EN LA VIA PUBLICA DE TODA CLASE DE VEHICULOS DE ALQUILER, NO ESPECIFICADOS PAGARAN POR CADA VEHICULO UNA CUOTA SEMESTRAL</t>
  </si>
  <si>
    <t>1 1 5 1 003 014</t>
  </si>
  <si>
    <t>POR OCUPACION DE LA VIA PUBLICA CON TAPIALES O MATERIALES DE CONSTRUCCION POR M2 POR DIA</t>
  </si>
  <si>
    <t>1 1 5 1 003 015</t>
  </si>
  <si>
    <t>ESTACIONAMIENTOS DE SERVICIO GRATUITO AL CLIENTE</t>
  </si>
  <si>
    <t>1 1 5 1 003 016</t>
  </si>
  <si>
    <t xml:space="preserve">ESTACIONAMIENTOS CON FINES DE LUCRO </t>
  </si>
  <si>
    <t>1 1 5 1 003 017</t>
  </si>
  <si>
    <t>SERVICIO DE VIAJE ESPECIAL FUERA DEL AREA MUNICIPAL</t>
  </si>
  <si>
    <t>1 1 5 1 004</t>
  </si>
  <si>
    <t>SERVICIO MIXTO DE UNIDADES DE TRANSPORTE</t>
  </si>
  <si>
    <t>1 1 5 1 004 001</t>
  </si>
  <si>
    <t>1 1 5 1 006</t>
  </si>
  <si>
    <t>ARRENDAMIENTO, EXPLOTACION O VENTA DE BIENES MUEBLES</t>
  </si>
  <si>
    <t>1 1 5 1 006 001</t>
  </si>
  <si>
    <t>BIENES MUEBLES</t>
  </si>
  <si>
    <t>1 1 5 1 006 001 001</t>
  </si>
  <si>
    <t>1 1 5 1 014</t>
  </si>
  <si>
    <t>ADQUISICIONES PARA VENTA DE APOYO A LAS COMUNIDADES</t>
  </si>
  <si>
    <t>1 1 5 1 014 007</t>
  </si>
  <si>
    <t>APEROS AGRICOLAS</t>
  </si>
  <si>
    <t>1 1 5 1 014 008</t>
  </si>
  <si>
    <t>MATERIALES CONGREGACIÓN MARIANA TRINITARIA</t>
  </si>
  <si>
    <t>DESARROLLO SOCIAL</t>
  </si>
  <si>
    <t>1 1 5 1 014 009</t>
  </si>
  <si>
    <t>APORTACION DE BENEFICIARIOS PARA PROYECTOS PRODUCTIVOS</t>
  </si>
  <si>
    <t>1 1 5 1 014 010</t>
  </si>
  <si>
    <t>APORTACION DE BENEFICIARIOS PARA EL PROGRAMA DE LAMINAS GALVANIZADAS</t>
  </si>
  <si>
    <t>1 1 5 1 014 011</t>
  </si>
  <si>
    <t>APORTACION DE BENEFICIARIOS PARA EL PROGRAMA DE ALAMBRE DE PUAS</t>
  </si>
  <si>
    <t>1 1 5 1 014 013</t>
  </si>
  <si>
    <t>APORTACION DE BENEFICIARIOS PARA EL PROGRAMA DE TINACOS</t>
  </si>
  <si>
    <t>1 1 5 1 014 016</t>
  </si>
  <si>
    <t>APORTACION DE BENEFICIARIOS PARA EL PROGRAMA DE  KIT DE HERRAMIENTAS</t>
  </si>
  <si>
    <t>1 1 5 1 014 017</t>
  </si>
  <si>
    <t>APORTACION DE BENEFICIARIOS PARA EL PROGRAMA DE  COLCHONES</t>
  </si>
  <si>
    <t>1 1 5 1 014 018</t>
  </si>
  <si>
    <t>APORTACION DE BENEFICIARIOS PARA EL PROGRAMA DE  CALENTADORES SOLARES</t>
  </si>
  <si>
    <t>1 1 5 1 014 020</t>
  </si>
  <si>
    <t>APORTACION DE BENEFICIARIOS PARA EL PROGRAMA ROTOPLAS</t>
  </si>
  <si>
    <t>1 1 5 1 014 023</t>
  </si>
  <si>
    <t>APORTACION DE BENEFICIARIOS DE ROLLO DE ALAMBRE DE PUAS</t>
  </si>
  <si>
    <t>1 1 5 1 014 024</t>
  </si>
  <si>
    <t>APORTACION DE BENEFICIARIOS PROG. LAMINAS</t>
  </si>
  <si>
    <t>1 1 5 1 014 025</t>
  </si>
  <si>
    <t>APORTACION DE BENEFICIARIOS PROG. PINTURA VINI-PROJECT. 19LTS.</t>
  </si>
  <si>
    <t>1 1 5 1 015</t>
  </si>
  <si>
    <t>PRODUCTOS DIVERSOS</t>
  </si>
  <si>
    <t>1 1 5 1 015 006</t>
  </si>
  <si>
    <t>VENTA DE FORMAS IMPRESAS POR JUEGOS</t>
  </si>
  <si>
    <t>1 1 5 1 015 007</t>
  </si>
  <si>
    <t>AVISO DE MOVIEMIENTO DE PROPIEDAD INMOBILIARIA (3DCC)</t>
  </si>
  <si>
    <t>1 1 5 1 015 008</t>
  </si>
  <si>
    <t>AVISO DE INCIDENCIA AL PADRON DE CONTRIBUYENTES, (INSCRIPCION, CAMBIO, BAJA)</t>
  </si>
  <si>
    <t>1 1 5 1 015 009</t>
  </si>
  <si>
    <t>FORMATO DE LICENCIA</t>
  </si>
  <si>
    <t>1 1 5 1 015 011</t>
  </si>
  <si>
    <t>FORMAS DEL REGISTRO CIVIL</t>
  </si>
  <si>
    <t>1 1 5 1 016</t>
  </si>
  <si>
    <t>PRODUCTOS FINANCIEROS</t>
  </si>
  <si>
    <t>1 1 5 1 016 001</t>
  </si>
  <si>
    <t>GASTO CORRIENTE</t>
  </si>
  <si>
    <t>1 1 5 1 016 001 001</t>
  </si>
  <si>
    <t>INTERESES POR PRODUCTOS FINANCIEROS</t>
  </si>
  <si>
    <t>1 1 5 1 016 001 006</t>
  </si>
  <si>
    <t>PRODUCTOS FINANCIEROS PROGRAMA DE APOYO A LA INFRAESTRUCTURA HIDROAGRICOLA</t>
  </si>
  <si>
    <t>1 1 5 1 016 002</t>
  </si>
  <si>
    <t>FONDO DE INFRAESTRUCTURA SOCIAL MUNICIPAL</t>
  </si>
  <si>
    <t>1 1 5 1 016 002 001</t>
  </si>
  <si>
    <t>INTERERES POR PRODUCTOS FINANCIEROS</t>
  </si>
  <si>
    <t>1 1 5 1 016 003</t>
  </si>
  <si>
    <t>FORTAMUN</t>
  </si>
  <si>
    <t>1 1 5 1 016 003 001</t>
  </si>
  <si>
    <t>1 1 5 1 016 005</t>
  </si>
  <si>
    <t>INGRESOS PROPIOS</t>
  </si>
  <si>
    <t>1 1 5 1 016 005 001</t>
  </si>
  <si>
    <t>INTERES GANADOS POR PRODUCTOS FINANCIEROS</t>
  </si>
  <si>
    <t>1 1 5 5</t>
  </si>
  <si>
    <t>ACCESORIO DE PRODUCTOS</t>
  </si>
  <si>
    <t>1 1 5 5 0016</t>
  </si>
  <si>
    <t>1 1 5 5 0016 001</t>
  </si>
  <si>
    <t>1 1 5 5 0016 002</t>
  </si>
  <si>
    <t>1 1 5 5 0016 003</t>
  </si>
  <si>
    <t>1 1 5 5 0016 004</t>
  </si>
  <si>
    <t>1 1 5 5 0016 005</t>
  </si>
  <si>
    <t>1 1 5 6</t>
  </si>
  <si>
    <t>1 1 5 6 001</t>
  </si>
  <si>
    <t>1 1 6</t>
  </si>
  <si>
    <t>APROVECHAMIENTOS</t>
  </si>
  <si>
    <t>1 1 6 1</t>
  </si>
  <si>
    <t>APROVECHAMIENTOS DE TIPO CORRIENTE</t>
  </si>
  <si>
    <t>1 1 6 1 001</t>
  </si>
  <si>
    <t>MULTAS FISCALES</t>
  </si>
  <si>
    <t>1 1 6 1 001 001</t>
  </si>
  <si>
    <t>FALTAS DE CUMPLIMIENTO DE OBLIGACIONES F</t>
  </si>
  <si>
    <t>1 1 6 1 002</t>
  </si>
  <si>
    <t>MULTAS ADMINISTRATIVAS</t>
  </si>
  <si>
    <t>1 1 6 1 002 001</t>
  </si>
  <si>
    <t>LOS QUE TRANSG. ESTAB.EN EL BDO.POLIC.GO</t>
  </si>
  <si>
    <t>SEG. PUBLICA</t>
  </si>
  <si>
    <t>1 1 6 1 003</t>
  </si>
  <si>
    <t>MULTAS DE TRANSITO LOCAL</t>
  </si>
  <si>
    <t>PARTICULARES</t>
  </si>
  <si>
    <t>1 1 6 1 003 001</t>
  </si>
  <si>
    <t>PARTICULARES, ABANDONO DE VEHICULO EN LA VIA PUBLICA HASTA 72 HORAS</t>
  </si>
  <si>
    <t>TRANSITO MPAL.</t>
  </si>
  <si>
    <t>1 1 6 1 003 005</t>
  </si>
  <si>
    <t>PARTICULARES, ATROPELLAMIENTO CAUSANDO LESIONES (CONSIGNACION)</t>
  </si>
  <si>
    <t>1 1 6 1 003 011</t>
  </si>
  <si>
    <t>PARTICULARES, CIRCULAR CON LUCES ROJAS EN LA PARTE DELANTERA DEL VEHICULO O USAR SIRENA EN AUTOS PARTICULARES</t>
  </si>
  <si>
    <t>1 1 6 1 003 015</t>
  </si>
  <si>
    <t>PARTICULARES, CIRCULAR EN MALAS CONDICIONES MECANICAS EMITIENDO EXCESO DE HUMO</t>
  </si>
  <si>
    <t>1 1 6 1 003 017</t>
  </si>
  <si>
    <t>PARTICULARES, CIRCULAR EN SENTIDO CONTRARIO</t>
  </si>
  <si>
    <t>1 1 6 1 003 018</t>
  </si>
  <si>
    <t>PARTICULARES, CIRCULAR EN ZONA RESTRINGIDA PARA CAMIONES PESADOS O AUTOBUSES</t>
  </si>
  <si>
    <t>1 1 6 1 003 023</t>
  </si>
  <si>
    <t>PARTICULARES, CONDUCIR SIN TARJETA DE CIRCULACION</t>
  </si>
  <si>
    <t>1 1 6 1 003 029</t>
  </si>
  <si>
    <t>PARTICULARES, CHOQUE CAUSANDO DAÑOS MATERIALES (REPARACION DE DAÑOS)</t>
  </si>
  <si>
    <t>1 1 6 1 003 030</t>
  </si>
  <si>
    <t>PARTICULARES, CHOQUE CAUSANDO UNA O VARIAS LESIONES MATERIALES (CONSIGNACION)</t>
  </si>
  <si>
    <t>1 1 6 1 003 032</t>
  </si>
  <si>
    <t>PARTICULARES, DESATENDER INDICACIONES DE UN AGENTE DE TRANSITO EN FUNCIONES</t>
  </si>
  <si>
    <t>1 1 6 1 003 036</t>
  </si>
  <si>
    <t>PARTICULARES, ESTACIONARSE EN DOBLE FILA</t>
  </si>
  <si>
    <t>1 1 6 1 003 037</t>
  </si>
  <si>
    <t>PARTICULARES, ESTACIONARSE EN LUGAR PROHIBIDO</t>
  </si>
  <si>
    <t>1 1 6 1 003 047</t>
  </si>
  <si>
    <t>PARTICULARES, POR MANEJAR EN PRIMER GRADO DE INTOXICACION ALCOHOLICA</t>
  </si>
  <si>
    <t>1 1 6 1 003 048</t>
  </si>
  <si>
    <t>PARTICULARES, POR MANEJAR EN SEGUNDO GRADO E INTOXICACION ETILICA</t>
  </si>
  <si>
    <t>1 1 6 1 003 049</t>
  </si>
  <si>
    <t>PARTICULARES, POR MANEJAR EN TERCER GRADO DE INTOXICION ETILICA</t>
  </si>
  <si>
    <t>1 1 6 1 003 051</t>
  </si>
  <si>
    <t>PARTICULARES, POR MANEJAR SIN LICENCIA</t>
  </si>
  <si>
    <t>1 1 6 1 003 053</t>
  </si>
  <si>
    <t>PARTICULARES, POR NO DISMINUIR LA VELOCIDAD AL LLEGAR A TOPES O VIBRADORES</t>
  </si>
  <si>
    <t>1 1 6 1 003 054</t>
  </si>
  <si>
    <t>PARTICULARES, POR NO DISMINUIR LA VELOCIDAD AL TRANSITAR ANTE LA PRESENCIA DE EDUCANDOS Y EN ZONAS ESCOLARES O NO CEDER EL PASO</t>
  </si>
  <si>
    <t>1 1 6 1 003 093</t>
  </si>
  <si>
    <t>PARTICULARES, POR CONDUCIR SIN EL EQUIPO DE PROTECCION EN VEHICULOS AUTOMOTORES</t>
  </si>
  <si>
    <t>1 1 6 1 003 094</t>
  </si>
  <si>
    <t>PARTICULARES, POR NO RESPETAR LOS LIMITES DE VELOCIDAD ESTABLECIDOS</t>
  </si>
  <si>
    <t>1 1 6 1 003 095</t>
  </si>
  <si>
    <t>PARTICULARES, POR CONDUCIR VEHICULO DE MOTOR CON ALIENTO ALCOHOLICO</t>
  </si>
  <si>
    <t>1 1 6 1 003 096</t>
  </si>
  <si>
    <t>PARTICULARES, POR DAR VUELTA EN LUGAR PROHIBIDO</t>
  </si>
  <si>
    <t>1 1 6 1 003 097</t>
  </si>
  <si>
    <t>POR ESTACIONARSE EN SENTIDO CONTRARIO A LA CIRCULACION DE LA VIA</t>
  </si>
  <si>
    <t>1 1 6 1 003 098</t>
  </si>
  <si>
    <t>PARTICULARES POR ESTACIONARSE O CIRCULAR SOBRE LA BANQUETA</t>
  </si>
  <si>
    <t>1 1 6 1 003 099</t>
  </si>
  <si>
    <t>POR NO RETIRAR DE LA VIA PUBLICA UN VEHICULO ACCIDENTADO</t>
  </si>
  <si>
    <t>1 1 6 1 003 100</t>
  </si>
  <si>
    <t>POR PARTICIPAR EN UN ACIDENTE DE TRANSITO Y QUE SE CONFIGURE UN</t>
  </si>
  <si>
    <t>1 1 6 1 003 101</t>
  </si>
  <si>
    <t>POR RETIRARSE DEL LUGAR DEL ACCIDENTE DE TRANSITO O NO DAR AVISO</t>
  </si>
  <si>
    <t>1 1 6 1 003 102</t>
  </si>
  <si>
    <t>CHOCAR POR FALTA DE PRECAUCION CON OTROS VEHICULOS O SEMOVIENTES</t>
  </si>
  <si>
    <t>1 1 6 1 003 103</t>
  </si>
  <si>
    <t>CONDUCIR UN VEICIULO SIENDO MENOR DE EDAD SIN EL PERMISO CORRESPONDIENTE</t>
  </si>
  <si>
    <t>1 1 6 1 004</t>
  </si>
  <si>
    <t>MULTAS POR CONCEPTO DE AGUA POTABLE, DRENAJE, ALCANTARILLADO Y SANEAMIENTO</t>
  </si>
  <si>
    <t>1 1 6 1 004 001</t>
  </si>
  <si>
    <t>TOMA CLANDESTINA</t>
  </si>
  <si>
    <t>1 1 6 1 004 002</t>
  </si>
  <si>
    <t>POR TIRAR AGUA</t>
  </si>
  <si>
    <t>1 1 6 1 008</t>
  </si>
  <si>
    <t>1 1 6 1 008 001</t>
  </si>
  <si>
    <t>1 1 6 1 008 004</t>
  </si>
  <si>
    <t>DONATIVO POR SERV. DE AMBULANCIA</t>
  </si>
  <si>
    <t>1 1 6 1 009</t>
  </si>
  <si>
    <t>BIENES MOSTRENCOS</t>
  </si>
  <si>
    <t>1 1 6 1 009 002</t>
  </si>
  <si>
    <t>VENTA DE BIENES MUEBLES</t>
  </si>
  <si>
    <t>SINDICATURA</t>
  </si>
  <si>
    <t>1 1 6 1 010</t>
  </si>
  <si>
    <t>INDEMNIZACION POR DAÑOS CAUSADOS A BIENES MUNICIPALES</t>
  </si>
  <si>
    <t>1 1 6 1 010 001</t>
  </si>
  <si>
    <t>DAÑOS CAUSADOS A BIENES PROPIEDAD DEL MUNICIPIO</t>
  </si>
  <si>
    <t>1 1  6 3</t>
  </si>
  <si>
    <t>ACCESORIOS DE APROVECHAMIENTOS</t>
  </si>
  <si>
    <t>1 1 6 3 0016 001</t>
  </si>
  <si>
    <t>1 1 6 3 0016 002</t>
  </si>
  <si>
    <t>1 1 6 3 0016 003</t>
  </si>
  <si>
    <t>1 1 6 3 0016 004</t>
  </si>
  <si>
    <t>1 1 6 3 0016 005</t>
  </si>
  <si>
    <t>1 1 6 3 0016 006</t>
  </si>
  <si>
    <t>1 1 7</t>
  </si>
  <si>
    <t>INGRESOS POR VENTA DE BIENES Y SERVICIOS DE ORGANISMOS DESCENTRALIZADOS</t>
  </si>
  <si>
    <t>1 1 7 10</t>
  </si>
  <si>
    <t>IMPUESTOS, PRODUCTOS Y APROVECHAMIENTOS CAUSADOS EN EJERCICIOS FISCALES ANTERIORES PENDIENTES DE PAGO</t>
  </si>
  <si>
    <t>1 1 7 10 003</t>
  </si>
  <si>
    <t>APROVECHAMIENTOS CAUSADOS EN EJERCICIOS FISCALES ANTERIORES</t>
  </si>
  <si>
    <t>1 1 7 10 003 001</t>
  </si>
  <si>
    <t>1 1 8</t>
  </si>
  <si>
    <t>PARTICIPACIONES Y APORTACIONES</t>
  </si>
  <si>
    <t>1 1 8 1</t>
  </si>
  <si>
    <t>PARTICIPACIONES</t>
  </si>
  <si>
    <t>1 1 8 1 001</t>
  </si>
  <si>
    <t>LAS PROV DEL FONDO GRAL DE PARTICIPACION</t>
  </si>
  <si>
    <t>1 1 8 1 001 001</t>
  </si>
  <si>
    <t>FONDO COMUN</t>
  </si>
  <si>
    <t>1 1 8 1 001 001 001</t>
  </si>
  <si>
    <t>IEPS COMPENSACION-ISAN</t>
  </si>
  <si>
    <t>1 1 8 1 001 001 002</t>
  </si>
  <si>
    <t>ISAN-TENENCIA</t>
  </si>
  <si>
    <t>1 1 8 1 001 001 003</t>
  </si>
  <si>
    <t>IMPUESTO ESPECIAL SOBRE PRODUCCION Y SERVICIOS IEPS / COMPENSACION ISAN</t>
  </si>
  <si>
    <t>1 1 8 1 001 002</t>
  </si>
  <si>
    <t>FONDO DE FOMENTO MUNICIPAL</t>
  </si>
  <si>
    <t>1 1 8 1 001 003</t>
  </si>
  <si>
    <t>FONDO PARA LA NFRAESTRUCTURA A MUNICIPIOS</t>
  </si>
  <si>
    <t>1 1 8 1 001 004</t>
  </si>
  <si>
    <t>FONDO DE FISCALIZACION</t>
  </si>
  <si>
    <t>1 1 8 1 001 005</t>
  </si>
  <si>
    <t>FONDO DE ESTABILIZACION DE LOS INGRESOS DE LAS ENTIDADES FEDERATIVAS</t>
  </si>
  <si>
    <t>1 1 8 1 001 007</t>
  </si>
  <si>
    <t>FONDO GENERAL DE PARTICIPACIONES</t>
  </si>
  <si>
    <t>1 1 8 1 001 008</t>
  </si>
  <si>
    <t>FONDO D APORTACIONES ESTATALES PARA LA INFRAESTRUC. SOCIAL MPAL. (GAS. Y DISEL)</t>
  </si>
  <si>
    <t>1 1 8 1 001 009</t>
  </si>
  <si>
    <t>APORTACION ESTATAL EXTRAORDINARIA</t>
  </si>
  <si>
    <t>1 1 8 1 001 010</t>
  </si>
  <si>
    <t>FONDO DE RECAUDACION DEL ISR</t>
  </si>
  <si>
    <t>1 1 8 1 001 011</t>
  </si>
  <si>
    <t>CAPITAL FONDO DE PÀRTICIPACIONES FEDERALES A MUNICIPIOS CUENTA PUBLICA</t>
  </si>
  <si>
    <t>1 1 8 1 001 012</t>
  </si>
  <si>
    <t xml:space="preserve">RENDIMIENTOS FINANCS FONDO DE PARTICIPACIONES FEDERALES A MUNICIPIOS CUENTA PUBLICA </t>
  </si>
  <si>
    <t>1 1 8 1 001 013</t>
  </si>
  <si>
    <t xml:space="preserve">ART. 4A FRAC. I LCF (GASOLINAS)
</t>
  </si>
  <si>
    <t>1 1 8 1 001 014</t>
  </si>
  <si>
    <t xml:space="preserve">ART. 4A FRAC. II LCF (FOCO)
</t>
  </si>
  <si>
    <t>1 1 8 1 001 015</t>
  </si>
  <si>
    <t xml:space="preserve">FONDO DE COMPENSACION ISAN
</t>
  </si>
  <si>
    <t>1 1 8 1 001 016</t>
  </si>
  <si>
    <t xml:space="preserve">FONDO DE ESTABILIZACION DE LOS INGRESOS DE LAS ENTIDADES FEDERATIVAS
</t>
  </si>
  <si>
    <t>1 1 8 1 001 017</t>
  </si>
  <si>
    <t xml:space="preserve">FONDO COMUN "I.S.A.N."
</t>
  </si>
  <si>
    <t>1 1 8 1 001 018</t>
  </si>
  <si>
    <t>RECAUDACION DEL ISR SOBRE BIENES MUEBLES</t>
  </si>
  <si>
    <t>1 1 8 2</t>
  </si>
  <si>
    <t>APORTACIONES</t>
  </si>
  <si>
    <t>1 1 8 2 001</t>
  </si>
  <si>
    <t>FONDO DE APORT P/INFRA SOC MPAL</t>
  </si>
  <si>
    <t>1 1 8 2 001 001</t>
  </si>
  <si>
    <t>APORTACIONES PARA LA INFRAESTRUCTURA SOCIAL MUNICIPAL</t>
  </si>
  <si>
    <t>1 1 8 2 001 002</t>
  </si>
  <si>
    <t>1 1 8 2 002</t>
  </si>
  <si>
    <t>FONDO DE APORTACIONES PARA EL FORTALECIMIENTO DE LOS MUNICIPIOS</t>
  </si>
  <si>
    <t>1 1 8 2 002 001</t>
  </si>
  <si>
    <t>APORTACIONES PARA EL FORTALECIMIENTO DE LOS MUNICIPIOS</t>
  </si>
  <si>
    <t>1 1 8 3</t>
  </si>
  <si>
    <t>CONVENIOS</t>
  </si>
  <si>
    <t>1 1 8 3 001</t>
  </si>
  <si>
    <t>PROVENIENTES DEL GOBIERNO DEL ESTADO</t>
  </si>
  <si>
    <t>1 1 8 3 001 005</t>
  </si>
  <si>
    <t xml:space="preserve">APOYO EXTRAORDINARIO </t>
  </si>
  <si>
    <t>1 1 8 3 001 005 002</t>
  </si>
  <si>
    <t>APORTACION ESTATAL EXTRAORDINARIA POR DEVOLUCION DEL 2% SOBRE NOMINAS</t>
  </si>
  <si>
    <t>1 1 8 3 002</t>
  </si>
  <si>
    <t>PROVENIENTES DEL GOBIERNO FEDERAL.</t>
  </si>
  <si>
    <t>1 1 8 3 002 005</t>
  </si>
  <si>
    <t>FONDO DE FOMENTO AGROPECUARIO</t>
  </si>
  <si>
    <t>1 1 8 3 002 005 001</t>
  </si>
  <si>
    <t>ECONOMIAS POR APORTACION MUNICIPAL FOFAEG 2022</t>
  </si>
  <si>
    <t>1 1 9</t>
  </si>
  <si>
    <t>TRANSFERENCIAS, ASIGNACIONES, SUBSIDIOS Y OTRAS AYUDAS</t>
  </si>
  <si>
    <t>1 1 9 3</t>
  </si>
  <si>
    <t>SUBSIDIOS Y SUBVENCIONES</t>
  </si>
  <si>
    <t>1 1 9 3 007</t>
  </si>
  <si>
    <t>OTROS INGRESOS EXTRAORDINARIOS</t>
  </si>
  <si>
    <t>1 1 9 3 007 004</t>
  </si>
  <si>
    <t>PRODDER CONAGUA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</si>
</sst>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"/>
    <numFmt numFmtId="165" formatCode="_-* #,##0.00\ _P_t_s_-;\-* #,##0.00\ _P_t_s_-;_-* &quot;-&quot;??\ _P_t_s_-;_-@_-"/>
  </numFmts>
  <fonts count="24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5"/>
      <name val="Arial"/>
      <family val="2"/>
    </font>
    <font>
      <sz val="5"/>
      <name val="Arial"/>
      <family val="2"/>
    </font>
    <font>
      <b/>
      <sz val="10"/>
      <name val="Arial Narrow"/>
      <family val="2"/>
    </font>
    <font>
      <sz val="10"/>
      <color indexed="10"/>
      <name val="Arial"/>
      <family val="2"/>
    </font>
    <font>
      <b/>
      <sz val="10"/>
      <color indexed="8"/>
      <name val="Arial Narrow"/>
      <family val="2"/>
    </font>
    <font>
      <sz val="10"/>
      <color indexed="8"/>
      <name val="Arial Narrow"/>
      <family val="2"/>
    </font>
    <font>
      <b/>
      <sz val="9"/>
      <color indexed="8"/>
      <name val="Arial Narrow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sz val="6"/>
      <color theme="0"/>
      <name val="Arial"/>
      <family val="2"/>
    </font>
    <font>
      <b/>
      <sz val="5"/>
      <color theme="0"/>
      <name val="Arial"/>
      <family val="2"/>
    </font>
    <font>
      <sz val="5"/>
      <color theme="0"/>
      <name val="Arial"/>
      <family val="2"/>
    </font>
    <font>
      <b/>
      <sz val="5"/>
      <name val="Arial Narrow"/>
      <family val="2"/>
    </font>
    <font>
      <b/>
      <sz val="6"/>
      <name val="Arial Narrow"/>
      <family val="2"/>
    </font>
    <font>
      <b/>
      <sz val="5"/>
      <color theme="0"/>
      <name val="Arial Narrow"/>
      <family val="2"/>
    </font>
    <font>
      <b/>
      <sz val="6"/>
      <name val="Arial"/>
      <family val="2"/>
    </font>
    <font>
      <b/>
      <u/>
      <sz val="5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</cellStyleXfs>
  <cellXfs count="98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wrapText="1"/>
    </xf>
    <xf numFmtId="43" fontId="3" fillId="0" borderId="2" xfId="1" applyFont="1" applyFill="1" applyBorder="1" applyAlignment="1"/>
    <xf numFmtId="4" fontId="1" fillId="0" borderId="2" xfId="0" applyNumberFormat="1" applyFont="1" applyBorder="1"/>
    <xf numFmtId="0" fontId="1" fillId="0" borderId="2" xfId="0" applyFont="1" applyBorder="1"/>
    <xf numFmtId="4" fontId="4" fillId="0" borderId="0" xfId="0" quotePrefix="1" applyNumberFormat="1" applyFont="1" applyAlignment="1">
      <alignment vertical="top"/>
    </xf>
    <xf numFmtId="4" fontId="1" fillId="0" borderId="0" xfId="0" applyNumberFormat="1" applyFont="1" applyAlignment="1">
      <alignment vertical="top"/>
    </xf>
    <xf numFmtId="0" fontId="1" fillId="0" borderId="0" xfId="0" applyFont="1"/>
    <xf numFmtId="4" fontId="5" fillId="0" borderId="0" xfId="0" applyNumberFormat="1" applyFont="1" applyAlignment="1">
      <alignment horizontal="right" vertical="center"/>
    </xf>
    <xf numFmtId="43" fontId="1" fillId="0" borderId="0" xfId="1" applyFont="1" applyFill="1" applyBorder="1"/>
    <xf numFmtId="0" fontId="0" fillId="0" borderId="3" xfId="0" applyBorder="1"/>
    <xf numFmtId="0" fontId="6" fillId="0" borderId="0" xfId="0" applyFont="1" applyAlignment="1">
      <alignment horizontal="center" vertical="top"/>
    </xf>
    <xf numFmtId="43" fontId="0" fillId="0" borderId="0" xfId="1" applyFont="1" applyFill="1" applyBorder="1"/>
    <xf numFmtId="0" fontId="7" fillId="0" borderId="3" xfId="0" applyFont="1" applyBorder="1"/>
    <xf numFmtId="0" fontId="8" fillId="0" borderId="0" xfId="0" applyFont="1" applyAlignment="1">
      <alignment horizontal="center" vertical="top"/>
    </xf>
    <xf numFmtId="0" fontId="7" fillId="0" borderId="0" xfId="0" applyFont="1"/>
    <xf numFmtId="43" fontId="7" fillId="0" borderId="0" xfId="1" applyFont="1" applyFill="1" applyBorder="1"/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4" xfId="0" applyBorder="1"/>
    <xf numFmtId="0" fontId="9" fillId="0" borderId="5" xfId="0" applyFont="1" applyBorder="1" applyAlignment="1">
      <alignment horizontal="center" vertical="top"/>
    </xf>
    <xf numFmtId="0" fontId="11" fillId="0" borderId="0" xfId="0" applyFont="1"/>
    <xf numFmtId="0" fontId="12" fillId="0" borderId="0" xfId="0" applyFont="1" applyAlignment="1">
      <alignment vertical="top"/>
    </xf>
    <xf numFmtId="43" fontId="13" fillId="0" borderId="0" xfId="1" applyFont="1" applyFill="1" applyBorder="1" applyAlignment="1">
      <alignment vertical="top"/>
    </xf>
    <xf numFmtId="4" fontId="12" fillId="0" borderId="0" xfId="0" applyNumberFormat="1" applyFont="1" applyAlignment="1">
      <alignment vertical="top"/>
    </xf>
    <xf numFmtId="4" fontId="14" fillId="0" borderId="0" xfId="0" quotePrefix="1" applyNumberFormat="1" applyFont="1" applyAlignment="1">
      <alignment vertical="top"/>
    </xf>
    <xf numFmtId="4" fontId="11" fillId="0" borderId="0" xfId="0" applyNumberFormat="1" applyFont="1"/>
    <xf numFmtId="4" fontId="15" fillId="0" borderId="0" xfId="0" applyNumberFormat="1" applyFont="1" applyAlignment="1">
      <alignment horizontal="right" vertical="center"/>
    </xf>
    <xf numFmtId="43" fontId="11" fillId="0" borderId="0" xfId="1" applyFont="1" applyFill="1" applyBorder="1"/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43" fontId="17" fillId="0" borderId="9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4" fontId="18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11" xfId="0" applyFont="1" applyBorder="1" applyAlignment="1">
      <alignment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43" fontId="17" fillId="0" borderId="14" xfId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4" fontId="16" fillId="0" borderId="5" xfId="0" applyNumberFormat="1" applyFont="1" applyBorder="1" applyAlignment="1">
      <alignment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43" fontId="3" fillId="0" borderId="0" xfId="1" applyFont="1" applyFill="1" applyBorder="1" applyAlignment="1">
      <alignment vertical="top"/>
    </xf>
    <xf numFmtId="0" fontId="16" fillId="0" borderId="4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4" fontId="16" fillId="0" borderId="20" xfId="0" applyNumberFormat="1" applyFont="1" applyBorder="1" applyAlignment="1">
      <alignment horizontal="center"/>
    </xf>
    <xf numFmtId="4" fontId="16" fillId="0" borderId="21" xfId="0" applyNumberFormat="1" applyFont="1" applyBorder="1" applyAlignment="1">
      <alignment horizontal="center"/>
    </xf>
    <xf numFmtId="4" fontId="4" fillId="0" borderId="21" xfId="0" applyNumberFormat="1" applyFont="1" applyBorder="1" applyAlignment="1">
      <alignment horizontal="right" vertical="center"/>
    </xf>
    <xf numFmtId="0" fontId="1" fillId="0" borderId="0" xfId="0" applyFont="1" applyAlignment="1">
      <alignment vertical="top"/>
    </xf>
    <xf numFmtId="0" fontId="17" fillId="0" borderId="0" xfId="0" applyFont="1" applyAlignment="1">
      <alignment horizontal="right" vertical="top"/>
    </xf>
    <xf numFmtId="0" fontId="17" fillId="0" borderId="0" xfId="0" quotePrefix="1" applyFont="1" applyAlignment="1">
      <alignment horizontal="right" vertical="top"/>
    </xf>
    <xf numFmtId="0" fontId="17" fillId="0" borderId="0" xfId="0" quotePrefix="1" applyFont="1" applyAlignment="1">
      <alignment horizontal="left" vertical="top"/>
    </xf>
    <xf numFmtId="43" fontId="1" fillId="0" borderId="0" xfId="1" applyFont="1" applyFill="1" applyBorder="1" applyAlignment="1">
      <alignment vertical="top"/>
    </xf>
    <xf numFmtId="0" fontId="4" fillId="0" borderId="0" xfId="0" applyFont="1" applyAlignment="1">
      <alignment horizontal="left" vertical="center"/>
    </xf>
    <xf numFmtId="4" fontId="4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4" fontId="5" fillId="0" borderId="0" xfId="3" applyNumberFormat="1" applyFont="1" applyAlignment="1">
      <alignment horizontal="right" vertical="center"/>
    </xf>
    <xf numFmtId="9" fontId="1" fillId="0" borderId="0" xfId="1" applyNumberFormat="1" applyFont="1" applyFill="1" applyBorder="1" applyAlignment="1">
      <alignment vertical="top"/>
    </xf>
    <xf numFmtId="0" fontId="5" fillId="0" borderId="0" xfId="3" applyFont="1" applyAlignment="1">
      <alignment horizontal="left" vertical="center"/>
    </xf>
    <xf numFmtId="43" fontId="4" fillId="0" borderId="0" xfId="1" applyFont="1" applyFill="1" applyBorder="1" applyAlignment="1">
      <alignment horizontal="right" vertical="center"/>
    </xf>
    <xf numFmtId="9" fontId="5" fillId="0" borderId="0" xfId="2" applyFont="1" applyFill="1" applyBorder="1" applyAlignment="1">
      <alignment horizontal="right" vertical="center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justify"/>
    </xf>
    <xf numFmtId="0" fontId="5" fillId="0" borderId="0" xfId="0" applyFont="1" applyAlignment="1">
      <alignment horizontal="left" vertical="center" wrapText="1"/>
    </xf>
    <xf numFmtId="0" fontId="5" fillId="0" borderId="0" xfId="3" applyFont="1" applyAlignment="1">
      <alignment horizontal="left" vertical="justify"/>
    </xf>
    <xf numFmtId="0" fontId="5" fillId="0" borderId="0" xfId="0" applyFont="1" applyAlignment="1">
      <alignment horizontal="left" vertical="justify"/>
    </xf>
    <xf numFmtId="0" fontId="3" fillId="0" borderId="0" xfId="0" applyFont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0" fontId="5" fillId="0" borderId="0" xfId="3" applyFont="1" applyAlignment="1">
      <alignment horizontal="justify" vertical="center"/>
    </xf>
    <xf numFmtId="43" fontId="3" fillId="0" borderId="0" xfId="1" applyFont="1" applyFill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20" fillId="0" borderId="0" xfId="0" applyFont="1" applyAlignment="1">
      <alignment horizontal="left" vertical="center"/>
    </xf>
    <xf numFmtId="0" fontId="5" fillId="0" borderId="0" xfId="3" applyFont="1" applyAlignment="1">
      <alignment horizontal="left" vertical="center" wrapText="1"/>
    </xf>
    <xf numFmtId="164" fontId="4" fillId="0" borderId="0" xfId="0" applyNumberFormat="1" applyFont="1" applyAlignment="1">
      <alignment horizontal="right" vertical="center"/>
    </xf>
    <xf numFmtId="4" fontId="4" fillId="0" borderId="0" xfId="0" applyNumberFormat="1" applyFont="1" applyAlignment="1">
      <alignment horizontal="left" vertical="center"/>
    </xf>
    <xf numFmtId="165" fontId="1" fillId="0" borderId="0" xfId="4" applyFont="1" applyFill="1" applyBorder="1" applyAlignment="1">
      <alignment vertical="top"/>
    </xf>
    <xf numFmtId="0" fontId="4" fillId="0" borderId="0" xfId="3" applyFont="1" applyAlignment="1">
      <alignment horizontal="left" vertical="center"/>
    </xf>
    <xf numFmtId="43" fontId="1" fillId="0" borderId="0" xfId="0" applyNumberFormat="1" applyFont="1" applyAlignment="1">
      <alignment vertical="top"/>
    </xf>
    <xf numFmtId="0" fontId="1" fillId="0" borderId="0" xfId="0" quotePrefix="1" applyFont="1" applyAlignment="1">
      <alignment vertical="top"/>
    </xf>
    <xf numFmtId="4" fontId="1" fillId="0" borderId="0" xfId="0" quotePrefix="1" applyNumberFormat="1" applyFont="1" applyAlignment="1">
      <alignment vertical="top"/>
    </xf>
    <xf numFmtId="4" fontId="21" fillId="0" borderId="0" xfId="0" quotePrefix="1" applyNumberFormat="1" applyFont="1" applyAlignment="1">
      <alignment vertical="top"/>
    </xf>
    <xf numFmtId="4" fontId="21" fillId="0" borderId="0" xfId="0" applyNumberFormat="1" applyFont="1" applyAlignment="1">
      <alignment vertical="top"/>
    </xf>
    <xf numFmtId="0" fontId="21" fillId="0" borderId="0" xfId="0" quotePrefix="1" applyFont="1" applyAlignment="1">
      <alignment vertical="top"/>
    </xf>
    <xf numFmtId="43" fontId="3" fillId="0" borderId="0" xfId="1" quotePrefix="1" applyFont="1" applyFill="1" applyBorder="1" applyAlignment="1">
      <alignment vertical="top"/>
    </xf>
    <xf numFmtId="43" fontId="19" fillId="0" borderId="0" xfId="1" quotePrefix="1" applyFont="1" applyFill="1" applyBorder="1" applyAlignment="1">
      <alignment vertical="top"/>
    </xf>
    <xf numFmtId="43" fontId="19" fillId="0" borderId="0" xfId="1" applyFont="1" applyFill="1" applyBorder="1" applyAlignment="1">
      <alignment vertical="top"/>
    </xf>
    <xf numFmtId="0" fontId="21" fillId="0" borderId="0" xfId="0" applyFont="1" applyAlignment="1">
      <alignment vertical="top"/>
    </xf>
  </cellXfs>
  <cellStyles count="5">
    <cellStyle name="Millares" xfId="1" builtinId="3"/>
    <cellStyle name="Millares 2" xfId="4" xr:uid="{325D6EAB-D332-461A-9E3E-8099581D65CF}"/>
    <cellStyle name="Normal" xfId="0" builtinId="0"/>
    <cellStyle name="Normal 2" xfId="3" xr:uid="{25ECA576-81AB-41D9-99EB-E8216EB5686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ilcaya/Documents/PRESUPUESTO%202026%20GENARO/3.%20PRESUP.%20DE%20INGRESOS%20PILCAYA%202026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.2019"/>
      <sheetName val="RESULTADOS 2020"/>
      <sheetName val="RESULT. 2021"/>
      <sheetName val="result.2022 real"/>
      <sheetName val="result.2023"/>
      <sheetName val="result.2024"/>
      <sheetName val="EDICTO "/>
      <sheetName val="PARA INICIATIVA2026"/>
      <sheetName val="BASE MENSUAL 2026 PRESUP."/>
      <sheetName val="JUSTIF. TEC. ING-PRESUP"/>
      <sheetName val="HISTORICO PRESUP"/>
      <sheetName val="PRESUP VS RESULT 2025"/>
      <sheetName val="RESULT LDF"/>
      <sheetName val="RESULT.EJERC.Y PROYEC.2025"/>
      <sheetName val="PROYEC. PLAN MPAL"/>
      <sheetName val="PROYEC. ING. LD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7">
          <cell r="J27">
            <v>2136566.8439999996</v>
          </cell>
        </row>
      </sheetData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9484A-CD4F-4679-BD84-4D2EB9B7BE6B}">
  <dimension ref="A1:AM946"/>
  <sheetViews>
    <sheetView tabSelected="1" zoomScale="140" zoomScaleNormal="140" workbookViewId="0">
      <pane xSplit="3" ySplit="13" topLeftCell="G14" activePane="bottomRight" state="frozen"/>
      <selection pane="topRight" activeCell="D1" sqref="D1"/>
      <selection pane="bottomLeft" activeCell="A14" sqref="A14"/>
      <selection pane="bottomRight" activeCell="G16" sqref="G16"/>
    </sheetView>
  </sheetViews>
  <sheetFormatPr baseColWidth="10" defaultColWidth="9.109375" defaultRowHeight="9.75" customHeight="1" x14ac:dyDescent="0.25"/>
  <cols>
    <col min="1" max="1" width="0.88671875" style="57" customWidth="1"/>
    <col min="2" max="2" width="10" style="57" customWidth="1"/>
    <col min="3" max="3" width="31.33203125" style="70" customWidth="1"/>
    <col min="4" max="4" width="11" style="70" hidden="1" customWidth="1"/>
    <col min="5" max="5" width="9.33203125" style="51" hidden="1" customWidth="1"/>
    <col min="6" max="6" width="8.33203125" style="8" hidden="1" customWidth="1"/>
    <col min="7" max="7" width="8.33203125" style="8" customWidth="1"/>
    <col min="8" max="8" width="7.6640625" style="8" customWidth="1"/>
    <col min="9" max="9" width="8.109375" style="8" customWidth="1"/>
    <col min="10" max="10" width="8.33203125" style="8" customWidth="1"/>
    <col min="11" max="11" width="8.44140625" style="8" customWidth="1"/>
    <col min="12" max="12" width="8.5546875" style="8" customWidth="1"/>
    <col min="13" max="19" width="9.88671875" style="57" customWidth="1"/>
    <col min="20" max="20" width="9.88671875" style="57" hidden="1" customWidth="1"/>
    <col min="21" max="22" width="14.5546875" style="57" hidden="1" customWidth="1"/>
    <col min="23" max="25" width="14.5546875" style="57" customWidth="1"/>
    <col min="26" max="32" width="12" style="57" customWidth="1"/>
    <col min="33" max="33" width="10.5546875" style="10" customWidth="1"/>
    <col min="34" max="34" width="10.5546875" style="61" customWidth="1"/>
    <col min="35" max="35" width="13.6640625" style="57" customWidth="1"/>
    <col min="36" max="36" width="13.6640625" style="57" bestFit="1" customWidth="1"/>
    <col min="37" max="37" width="9.109375" style="57"/>
    <col min="38" max="38" width="11.5546875" style="57" bestFit="1" customWidth="1"/>
    <col min="39" max="16384" width="9.109375" style="57"/>
  </cols>
  <sheetData>
    <row r="1" spans="1:36" s="9" customFormat="1" ht="9.75" customHeight="1" x14ac:dyDescent="0.2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6"/>
      <c r="N1" s="6"/>
      <c r="O1" s="6"/>
      <c r="P1" s="6"/>
      <c r="Q1" s="6"/>
      <c r="R1" s="6"/>
      <c r="S1" s="6"/>
      <c r="T1" s="7">
        <f t="shared" ref="T1:T47" si="0">SUM(H1:S1)</f>
        <v>0</v>
      </c>
      <c r="U1" s="8">
        <f t="shared" ref="U1:U54" si="1">+T1-G1</f>
        <v>0</v>
      </c>
      <c r="AG1" s="10"/>
      <c r="AH1" s="11"/>
    </row>
    <row r="2" spans="1:36" customFormat="1" ht="12" customHeight="1" x14ac:dyDescent="0.25">
      <c r="A2" s="12"/>
      <c r="B2" s="13" t="s">
        <v>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7">
        <f t="shared" si="0"/>
        <v>0</v>
      </c>
      <c r="U2" s="8">
        <f t="shared" si="1"/>
        <v>0</v>
      </c>
      <c r="AG2" s="10"/>
      <c r="AH2" s="14"/>
    </row>
    <row r="3" spans="1:36" s="17" customFormat="1" ht="9.75" hidden="1" customHeight="1" x14ac:dyDescent="0.25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7">
        <f t="shared" si="0"/>
        <v>0</v>
      </c>
      <c r="U3" s="8">
        <f t="shared" si="1"/>
        <v>0</v>
      </c>
      <c r="AG3" s="10"/>
      <c r="AH3" s="18"/>
    </row>
    <row r="4" spans="1:36" s="17" customFormat="1" ht="9.75" hidden="1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7">
        <f t="shared" si="0"/>
        <v>0</v>
      </c>
      <c r="U4" s="8">
        <f t="shared" si="1"/>
        <v>0</v>
      </c>
      <c r="AG4" s="10"/>
      <c r="AH4" s="18"/>
    </row>
    <row r="5" spans="1:36" s="17" customFormat="1" ht="9.75" customHeight="1" x14ac:dyDescent="0.25">
      <c r="A5" s="15"/>
      <c r="B5" s="20" t="s">
        <v>1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7">
        <f t="shared" si="0"/>
        <v>0</v>
      </c>
      <c r="U5" s="8">
        <f t="shared" si="1"/>
        <v>0</v>
      </c>
      <c r="AG5" s="10"/>
      <c r="AH5" s="18"/>
    </row>
    <row r="6" spans="1:36" customFormat="1" ht="9.75" customHeight="1" x14ac:dyDescent="0.25">
      <c r="A6" s="12"/>
      <c r="B6" s="20" t="s">
        <v>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7">
        <f t="shared" si="0"/>
        <v>0</v>
      </c>
      <c r="U6" s="8">
        <f t="shared" si="1"/>
        <v>0</v>
      </c>
      <c r="AG6" s="10"/>
      <c r="AH6" s="14"/>
    </row>
    <row r="7" spans="1:36" customFormat="1" ht="9.75" hidden="1" customHeight="1" x14ac:dyDescent="0.25">
      <c r="A7" s="21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7">
        <f t="shared" si="0"/>
        <v>0</v>
      </c>
      <c r="U7" s="8">
        <f t="shared" si="1"/>
        <v>0</v>
      </c>
      <c r="AG7" s="10"/>
      <c r="AH7" s="14"/>
    </row>
    <row r="8" spans="1:36" s="23" customFormat="1" ht="9.75" hidden="1" customHeight="1" x14ac:dyDescent="0.25">
      <c r="B8" s="24"/>
      <c r="C8" s="24"/>
      <c r="D8" s="24"/>
      <c r="E8" s="25"/>
      <c r="F8" s="24"/>
      <c r="G8" s="26">
        <f>+G13-F13</f>
        <v>4.0000081062316895E-3</v>
      </c>
      <c r="H8" s="27">
        <f>+G13-G12</f>
        <v>126402000.00400001</v>
      </c>
      <c r="I8" s="24"/>
      <c r="J8" s="24"/>
      <c r="K8" s="24"/>
      <c r="L8" s="28"/>
      <c r="T8" s="7">
        <f t="shared" si="0"/>
        <v>126402000.00400001</v>
      </c>
      <c r="U8" s="8">
        <f t="shared" si="1"/>
        <v>126402000</v>
      </c>
      <c r="AG8" s="29"/>
      <c r="AH8" s="30"/>
    </row>
    <row r="9" spans="1:36" customFormat="1" ht="9.75" hidden="1" customHeight="1" x14ac:dyDescent="0.25">
      <c r="B9" s="31" t="s">
        <v>3</v>
      </c>
      <c r="C9" s="32"/>
      <c r="D9" s="33"/>
      <c r="E9" s="34"/>
      <c r="F9" s="35" t="s">
        <v>4</v>
      </c>
      <c r="G9" s="36" t="s">
        <v>4</v>
      </c>
      <c r="H9" s="37">
        <f>126300000-G12</f>
        <v>126300000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9"/>
      <c r="T9" s="7">
        <f t="shared" si="0"/>
        <v>126300000</v>
      </c>
      <c r="U9" s="8" t="e">
        <f t="shared" si="1"/>
        <v>#VALUE!</v>
      </c>
      <c r="AG9" s="10"/>
      <c r="AH9" s="14"/>
    </row>
    <row r="10" spans="1:36" customFormat="1" ht="9.75" hidden="1" customHeight="1" x14ac:dyDescent="0.25">
      <c r="B10" s="40"/>
      <c r="C10" s="41"/>
      <c r="D10" s="42"/>
      <c r="E10" s="43"/>
      <c r="F10" s="44"/>
      <c r="G10" s="45"/>
      <c r="H10" s="46"/>
      <c r="I10" s="46"/>
      <c r="J10" s="47"/>
      <c r="K10" s="46"/>
      <c r="L10" s="46"/>
      <c r="M10" s="47"/>
      <c r="N10" s="46"/>
      <c r="O10" s="46"/>
      <c r="P10" s="47"/>
      <c r="Q10" s="46"/>
      <c r="R10" s="46"/>
      <c r="S10" s="47"/>
      <c r="T10" s="7">
        <f t="shared" si="0"/>
        <v>0</v>
      </c>
      <c r="U10" s="8">
        <f t="shared" si="1"/>
        <v>0</v>
      </c>
      <c r="AG10" s="10"/>
      <c r="AH10" s="14"/>
      <c r="AI10" s="8">
        <f>+AI619</f>
        <v>120234728.56999999</v>
      </c>
    </row>
    <row r="11" spans="1:36" customFormat="1" ht="9.75" customHeight="1" thickBot="1" x14ac:dyDescent="0.3">
      <c r="B11" s="48"/>
      <c r="C11" s="49"/>
      <c r="D11" s="50"/>
      <c r="E11" s="51"/>
      <c r="F11" s="52"/>
      <c r="G11" s="53"/>
      <c r="H11" s="54" t="s">
        <v>5</v>
      </c>
      <c r="I11" s="55" t="s">
        <v>6</v>
      </c>
      <c r="J11" s="55" t="s">
        <v>7</v>
      </c>
      <c r="K11" s="55" t="s">
        <v>8</v>
      </c>
      <c r="L11" s="55" t="s">
        <v>9</v>
      </c>
      <c r="M11" s="55" t="s">
        <v>10</v>
      </c>
      <c r="N11" s="55" t="s">
        <v>11</v>
      </c>
      <c r="O11" s="55" t="s">
        <v>12</v>
      </c>
      <c r="P11" s="55" t="s">
        <v>13</v>
      </c>
      <c r="Q11" s="55" t="s">
        <v>14</v>
      </c>
      <c r="R11" s="55" t="s">
        <v>15</v>
      </c>
      <c r="S11" s="55" t="s">
        <v>16</v>
      </c>
      <c r="T11" s="7">
        <f t="shared" si="0"/>
        <v>0</v>
      </c>
      <c r="U11" s="8">
        <f t="shared" si="1"/>
        <v>0</v>
      </c>
      <c r="Z11" s="56"/>
      <c r="AA11" s="8"/>
      <c r="AG11" s="10"/>
      <c r="AH11" s="14"/>
      <c r="AI11" s="8">
        <f>+AI10-G13</f>
        <v>-6167271.4340000153</v>
      </c>
    </row>
    <row r="12" spans="1:36" s="10" customFormat="1" ht="9.75" customHeight="1" x14ac:dyDescent="0.25">
      <c r="F12" s="10">
        <f>+F13-G13</f>
        <v>-4.0000081062316895E-3</v>
      </c>
      <c r="T12" s="7">
        <f t="shared" si="0"/>
        <v>0</v>
      </c>
      <c r="U12" s="8">
        <f t="shared" si="1"/>
        <v>0</v>
      </c>
    </row>
    <row r="13" spans="1:36" ht="9.75" customHeight="1" x14ac:dyDescent="0.25">
      <c r="B13" s="58" t="s">
        <v>17</v>
      </c>
      <c r="C13" s="59"/>
      <c r="D13" s="60" t="s">
        <v>18</v>
      </c>
      <c r="E13" s="7">
        <f>SUM(E19:E618)</f>
        <v>-54139.305</v>
      </c>
      <c r="F13" s="7">
        <v>126402000</v>
      </c>
      <c r="G13" s="7">
        <f>+G14</f>
        <v>126402000.00400001</v>
      </c>
      <c r="H13" s="7">
        <f t="shared" ref="H13:S14" si="2">+H14</f>
        <v>13130437.071</v>
      </c>
      <c r="I13" s="7">
        <f t="shared" si="2"/>
        <v>10570426.82</v>
      </c>
      <c r="J13" s="7">
        <f t="shared" si="2"/>
        <v>12940550.079999998</v>
      </c>
      <c r="K13" s="7">
        <f t="shared" si="2"/>
        <v>10515130.020000001</v>
      </c>
      <c r="L13" s="7">
        <f t="shared" si="2"/>
        <v>13324815.999999998</v>
      </c>
      <c r="M13" s="7">
        <f t="shared" si="2"/>
        <v>11494554.08</v>
      </c>
      <c r="N13" s="7">
        <f t="shared" si="2"/>
        <v>10804336.359999999</v>
      </c>
      <c r="O13" s="7">
        <f t="shared" si="2"/>
        <v>10977397.869999999</v>
      </c>
      <c r="P13" s="7">
        <f t="shared" si="2"/>
        <v>10896208.800000001</v>
      </c>
      <c r="Q13" s="7">
        <f t="shared" si="2"/>
        <v>8794735.1099999994</v>
      </c>
      <c r="R13" s="7">
        <f t="shared" si="2"/>
        <v>6280460.5899999999</v>
      </c>
      <c r="S13" s="7">
        <f t="shared" si="2"/>
        <v>6672947.2029999997</v>
      </c>
      <c r="T13" s="7">
        <f t="shared" si="0"/>
        <v>126402000.00400001</v>
      </c>
      <c r="U13" s="8">
        <f t="shared" si="1"/>
        <v>0</v>
      </c>
      <c r="V13" s="8"/>
      <c r="Z13" s="7"/>
    </row>
    <row r="14" spans="1:36" ht="9.75" customHeight="1" x14ac:dyDescent="0.25">
      <c r="B14" s="62" t="s">
        <v>19</v>
      </c>
      <c r="C14" s="62" t="s">
        <v>20</v>
      </c>
      <c r="D14" s="62"/>
      <c r="F14" s="63">
        <f>+F15-G15</f>
        <v>-549089.59400001168</v>
      </c>
      <c r="G14" s="63">
        <f>+G15</f>
        <v>126402000.00400001</v>
      </c>
      <c r="H14" s="63">
        <f t="shared" si="2"/>
        <v>13130437.071</v>
      </c>
      <c r="I14" s="63">
        <f t="shared" si="2"/>
        <v>10570426.82</v>
      </c>
      <c r="J14" s="63">
        <f t="shared" si="2"/>
        <v>12940550.079999998</v>
      </c>
      <c r="K14" s="63">
        <f t="shared" si="2"/>
        <v>10515130.020000001</v>
      </c>
      <c r="L14" s="63">
        <f t="shared" si="2"/>
        <v>13324815.999999998</v>
      </c>
      <c r="M14" s="63">
        <f t="shared" si="2"/>
        <v>11494554.08</v>
      </c>
      <c r="N14" s="63">
        <f t="shared" si="2"/>
        <v>10804336.359999999</v>
      </c>
      <c r="O14" s="63">
        <f t="shared" si="2"/>
        <v>10977397.869999999</v>
      </c>
      <c r="P14" s="63">
        <f t="shared" si="2"/>
        <v>10896208.800000001</v>
      </c>
      <c r="Q14" s="63">
        <f t="shared" si="2"/>
        <v>8794735.1099999994</v>
      </c>
      <c r="R14" s="63">
        <f t="shared" si="2"/>
        <v>6280460.5899999999</v>
      </c>
      <c r="S14" s="63">
        <f t="shared" si="2"/>
        <v>6672947.2029999997</v>
      </c>
      <c r="T14" s="7">
        <f t="shared" si="0"/>
        <v>126402000.00400001</v>
      </c>
      <c r="U14" s="8">
        <f t="shared" si="1"/>
        <v>0</v>
      </c>
      <c r="V14" s="8"/>
      <c r="Z14" s="63"/>
      <c r="AJ14" s="8">
        <f>SUM(AI19:AI578)</f>
        <v>4428298.3599999985</v>
      </c>
    </row>
    <row r="15" spans="1:36" ht="9.75" customHeight="1" x14ac:dyDescent="0.25">
      <c r="B15" s="62" t="s">
        <v>21</v>
      </c>
      <c r="C15" s="62" t="s">
        <v>22</v>
      </c>
      <c r="D15" s="62"/>
      <c r="E15" s="51">
        <f>SUM(H15:S15)-G15</f>
        <v>0</v>
      </c>
      <c r="F15" s="63">
        <f>SUM(F19:F618)</f>
        <v>125852910.41</v>
      </c>
      <c r="G15" s="63">
        <f t="shared" ref="G15:S15" si="3">+G16+G579+G615</f>
        <v>126402000.00400001</v>
      </c>
      <c r="H15" s="63">
        <f t="shared" si="3"/>
        <v>13130437.071</v>
      </c>
      <c r="I15" s="63">
        <f t="shared" si="3"/>
        <v>10570426.82</v>
      </c>
      <c r="J15" s="63">
        <f t="shared" si="3"/>
        <v>12940550.079999998</v>
      </c>
      <c r="K15" s="63">
        <f t="shared" si="3"/>
        <v>10515130.020000001</v>
      </c>
      <c r="L15" s="63">
        <f t="shared" si="3"/>
        <v>13324815.999999998</v>
      </c>
      <c r="M15" s="63">
        <f t="shared" si="3"/>
        <v>11494554.08</v>
      </c>
      <c r="N15" s="63">
        <f t="shared" si="3"/>
        <v>10804336.359999999</v>
      </c>
      <c r="O15" s="63">
        <f t="shared" si="3"/>
        <v>10977397.869999999</v>
      </c>
      <c r="P15" s="63">
        <f t="shared" si="3"/>
        <v>10896208.800000001</v>
      </c>
      <c r="Q15" s="63">
        <f t="shared" si="3"/>
        <v>8794735.1099999994</v>
      </c>
      <c r="R15" s="63">
        <f t="shared" si="3"/>
        <v>6280460.5899999999</v>
      </c>
      <c r="S15" s="63">
        <f t="shared" si="3"/>
        <v>6672947.2029999997</v>
      </c>
      <c r="T15" s="7">
        <f t="shared" si="0"/>
        <v>126402000.00400001</v>
      </c>
      <c r="U15" s="8">
        <f t="shared" si="1"/>
        <v>0</v>
      </c>
      <c r="V15" s="8"/>
      <c r="Z15" s="63"/>
      <c r="AA15" s="8"/>
    </row>
    <row r="16" spans="1:36" ht="9.75" customHeight="1" x14ac:dyDescent="0.25">
      <c r="B16" s="62"/>
      <c r="C16" s="62" t="s">
        <v>23</v>
      </c>
      <c r="D16" s="62"/>
      <c r="E16" s="51">
        <f t="shared" ref="E16:E18" si="4">SUM(H16:S16)-G16</f>
        <v>0</v>
      </c>
      <c r="F16" s="63"/>
      <c r="G16" s="63">
        <f>+G17+G109+G449+G521+G575+G94</f>
        <v>8401347.2639999986</v>
      </c>
      <c r="H16" s="63">
        <f t="shared" ref="H16:S16" si="5">+H17+H109+H449+H521+H575+H94</f>
        <v>3440077.4610000006</v>
      </c>
      <c r="I16" s="63">
        <f t="shared" si="5"/>
        <v>824051.9</v>
      </c>
      <c r="J16" s="63">
        <f t="shared" si="5"/>
        <v>740520.62</v>
      </c>
      <c r="K16" s="63">
        <f t="shared" si="5"/>
        <v>396923.65</v>
      </c>
      <c r="L16" s="63">
        <f t="shared" si="5"/>
        <v>570146.94000000006</v>
      </c>
      <c r="M16" s="63">
        <f t="shared" si="5"/>
        <v>328717.77</v>
      </c>
      <c r="N16" s="63">
        <f t="shared" si="5"/>
        <v>445128.59</v>
      </c>
      <c r="O16" s="63">
        <f t="shared" si="5"/>
        <v>369469.83</v>
      </c>
      <c r="P16" s="63">
        <f t="shared" si="5"/>
        <v>572353.27</v>
      </c>
      <c r="Q16" s="63">
        <f t="shared" si="5"/>
        <v>257550.78000000003</v>
      </c>
      <c r="R16" s="63">
        <f t="shared" si="5"/>
        <v>277754.76</v>
      </c>
      <c r="S16" s="63">
        <f t="shared" si="5"/>
        <v>178651.69299999997</v>
      </c>
      <c r="T16" s="7">
        <f t="shared" si="0"/>
        <v>8401347.2640000023</v>
      </c>
      <c r="U16" s="8">
        <f t="shared" si="1"/>
        <v>0</v>
      </c>
      <c r="V16" s="8"/>
      <c r="Z16" s="63"/>
      <c r="AA16" s="8"/>
    </row>
    <row r="17" spans="2:35" ht="9.75" customHeight="1" x14ac:dyDescent="0.25">
      <c r="B17" s="62" t="s">
        <v>24</v>
      </c>
      <c r="C17" s="62" t="s">
        <v>25</v>
      </c>
      <c r="D17" s="62"/>
      <c r="E17" s="51">
        <f t="shared" si="4"/>
        <v>0</v>
      </c>
      <c r="F17" s="63"/>
      <c r="G17" s="63">
        <f>+G18+G30+G66+G90+G78+G52</f>
        <v>2403199.6599999997</v>
      </c>
      <c r="H17" s="63">
        <f t="shared" ref="H17:S17" si="6">+H18+H30+H66+H90+H78+H52</f>
        <v>1367523.27</v>
      </c>
      <c r="I17" s="63">
        <f t="shared" si="6"/>
        <v>320564.8</v>
      </c>
      <c r="J17" s="63">
        <f t="shared" si="6"/>
        <v>222170.74000000002</v>
      </c>
      <c r="K17" s="63">
        <f t="shared" si="6"/>
        <v>101541.84000000001</v>
      </c>
      <c r="L17" s="63">
        <f t="shared" si="6"/>
        <v>90948.52</v>
      </c>
      <c r="M17" s="63">
        <f t="shared" si="6"/>
        <v>60867.31</v>
      </c>
      <c r="N17" s="63">
        <f t="shared" si="6"/>
        <v>58463.54</v>
      </c>
      <c r="O17" s="63">
        <f t="shared" si="6"/>
        <v>75561.39</v>
      </c>
      <c r="P17" s="63">
        <f t="shared" si="6"/>
        <v>41794.51</v>
      </c>
      <c r="Q17" s="63">
        <f t="shared" si="6"/>
        <v>24900.03</v>
      </c>
      <c r="R17" s="63">
        <f t="shared" si="6"/>
        <v>22874.880000000001</v>
      </c>
      <c r="S17" s="63">
        <f t="shared" si="6"/>
        <v>15988.83</v>
      </c>
      <c r="T17" s="7">
        <f t="shared" si="0"/>
        <v>2403199.6599999997</v>
      </c>
      <c r="U17" s="8">
        <f t="shared" si="1"/>
        <v>0</v>
      </c>
      <c r="V17" s="8"/>
      <c r="Z17" s="63"/>
      <c r="AA17" s="8"/>
    </row>
    <row r="18" spans="2:35" ht="9.75" customHeight="1" x14ac:dyDescent="0.25">
      <c r="B18" s="62" t="s">
        <v>26</v>
      </c>
      <c r="C18" s="62" t="s">
        <v>27</v>
      </c>
      <c r="D18" s="62"/>
      <c r="E18" s="51">
        <f t="shared" si="4"/>
        <v>0</v>
      </c>
      <c r="F18" s="63"/>
      <c r="G18" s="63">
        <f>SUM(G19:G29)</f>
        <v>11540.16</v>
      </c>
      <c r="H18" s="63">
        <f t="shared" ref="H18:S18" si="7">SUM(H19:H29)</f>
        <v>9910</v>
      </c>
      <c r="I18" s="63">
        <f t="shared" si="7"/>
        <v>0</v>
      </c>
      <c r="J18" s="63">
        <f t="shared" si="7"/>
        <v>0</v>
      </c>
      <c r="K18" s="63">
        <f t="shared" si="7"/>
        <v>0</v>
      </c>
      <c r="L18" s="63">
        <f t="shared" si="7"/>
        <v>0</v>
      </c>
      <c r="M18" s="63">
        <f t="shared" si="7"/>
        <v>0</v>
      </c>
      <c r="N18" s="63">
        <f t="shared" si="7"/>
        <v>0</v>
      </c>
      <c r="O18" s="63">
        <f t="shared" si="7"/>
        <v>800</v>
      </c>
      <c r="P18" s="63">
        <f t="shared" si="7"/>
        <v>230.16</v>
      </c>
      <c r="Q18" s="63">
        <f t="shared" si="7"/>
        <v>200</v>
      </c>
      <c r="R18" s="63">
        <f t="shared" si="7"/>
        <v>200</v>
      </c>
      <c r="S18" s="63">
        <f t="shared" si="7"/>
        <v>200</v>
      </c>
      <c r="T18" s="7">
        <f t="shared" si="0"/>
        <v>11540.16</v>
      </c>
      <c r="U18" s="8">
        <f t="shared" si="1"/>
        <v>0</v>
      </c>
      <c r="V18" s="8"/>
      <c r="Z18" s="63"/>
      <c r="AA18" s="8"/>
    </row>
    <row r="19" spans="2:35" ht="9.75" customHeight="1" x14ac:dyDescent="0.25">
      <c r="B19" s="64" t="s">
        <v>28</v>
      </c>
      <c r="C19" s="64" t="s">
        <v>29</v>
      </c>
      <c r="D19" s="64" t="s">
        <v>30</v>
      </c>
      <c r="F19" s="10">
        <f>+G19</f>
        <v>1000</v>
      </c>
      <c r="G19" s="10">
        <f t="shared" ref="G19:G29" si="8">SUM(H19:S19)</f>
        <v>1000</v>
      </c>
      <c r="H19" s="65">
        <v>1000</v>
      </c>
      <c r="I19" s="65">
        <v>0</v>
      </c>
      <c r="J19" s="65">
        <v>0</v>
      </c>
      <c r="K19" s="65">
        <v>0</v>
      </c>
      <c r="L19" s="65">
        <v>0</v>
      </c>
      <c r="M19" s="65">
        <v>0</v>
      </c>
      <c r="N19" s="65">
        <v>0</v>
      </c>
      <c r="O19" s="65">
        <v>0</v>
      </c>
      <c r="P19" s="65">
        <v>0</v>
      </c>
      <c r="Q19" s="10">
        <v>0</v>
      </c>
      <c r="R19" s="10">
        <v>0</v>
      </c>
      <c r="S19" s="10">
        <v>0</v>
      </c>
      <c r="T19" s="7">
        <f t="shared" si="0"/>
        <v>1000</v>
      </c>
      <c r="U19" s="8">
        <f t="shared" si="1"/>
        <v>0</v>
      </c>
      <c r="V19" s="8"/>
      <c r="Z19" s="10">
        <v>500</v>
      </c>
      <c r="AA19" s="8">
        <f t="shared" ref="AA19:AA124" si="9">+Z19-G19</f>
        <v>-500</v>
      </c>
      <c r="AI19" s="8">
        <f t="shared" ref="AI19:AI29" si="10">+G19</f>
        <v>1000</v>
      </c>
    </row>
    <row r="20" spans="2:35" ht="9.75" customHeight="1" x14ac:dyDescent="0.25">
      <c r="B20" s="64" t="s">
        <v>31</v>
      </c>
      <c r="C20" s="64" t="s">
        <v>32</v>
      </c>
      <c r="D20" s="64" t="s">
        <v>30</v>
      </c>
      <c r="F20" s="10">
        <f t="shared" ref="F20:F73" si="11">+G20</f>
        <v>800</v>
      </c>
      <c r="G20" s="10">
        <f t="shared" si="8"/>
        <v>800</v>
      </c>
      <c r="H20" s="65">
        <v>0</v>
      </c>
      <c r="I20" s="65">
        <v>0</v>
      </c>
      <c r="J20" s="65">
        <v>0</v>
      </c>
      <c r="K20" s="65">
        <v>0</v>
      </c>
      <c r="L20" s="65">
        <v>0</v>
      </c>
      <c r="M20" s="65">
        <v>0</v>
      </c>
      <c r="N20" s="65">
        <v>0</v>
      </c>
      <c r="O20" s="65">
        <v>800</v>
      </c>
      <c r="P20" s="65">
        <v>0</v>
      </c>
      <c r="Q20" s="10">
        <v>0</v>
      </c>
      <c r="R20" s="10">
        <v>0</v>
      </c>
      <c r="S20" s="10">
        <v>0</v>
      </c>
      <c r="T20" s="7">
        <f t="shared" si="0"/>
        <v>800</v>
      </c>
      <c r="U20" s="8">
        <f t="shared" si="1"/>
        <v>0</v>
      </c>
      <c r="V20" s="8"/>
      <c r="Z20" s="10">
        <v>1047.82</v>
      </c>
      <c r="AA20" s="8">
        <f t="shared" si="9"/>
        <v>247.81999999999994</v>
      </c>
      <c r="AI20" s="8">
        <f t="shared" si="10"/>
        <v>800</v>
      </c>
    </row>
    <row r="21" spans="2:35" ht="9.75" customHeight="1" x14ac:dyDescent="0.25">
      <c r="B21" s="64" t="s">
        <v>33</v>
      </c>
      <c r="C21" s="64" t="s">
        <v>34</v>
      </c>
      <c r="D21" s="64" t="s">
        <v>30</v>
      </c>
      <c r="E21" s="51">
        <f t="shared" ref="E21:E31" si="12">+F21-G21</f>
        <v>0</v>
      </c>
      <c r="F21" s="10">
        <f t="shared" si="11"/>
        <v>1000</v>
      </c>
      <c r="G21" s="10">
        <f t="shared" si="8"/>
        <v>1000</v>
      </c>
      <c r="H21" s="10">
        <v>1000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7">
        <f t="shared" si="0"/>
        <v>1000</v>
      </c>
      <c r="U21" s="8">
        <f t="shared" si="1"/>
        <v>0</v>
      </c>
      <c r="V21" s="8"/>
      <c r="Z21" s="10">
        <v>2286.79</v>
      </c>
      <c r="AA21" s="8">
        <f t="shared" si="9"/>
        <v>1286.79</v>
      </c>
      <c r="AI21" s="8">
        <f t="shared" si="10"/>
        <v>1000</v>
      </c>
    </row>
    <row r="22" spans="2:35" ht="12.75" customHeight="1" x14ac:dyDescent="0.25">
      <c r="B22" s="64" t="s">
        <v>35</v>
      </c>
      <c r="C22" s="64" t="s">
        <v>36</v>
      </c>
      <c r="D22" s="64" t="s">
        <v>30</v>
      </c>
      <c r="E22" s="51">
        <f t="shared" si="12"/>
        <v>0</v>
      </c>
      <c r="F22" s="10">
        <f t="shared" si="11"/>
        <v>1910</v>
      </c>
      <c r="G22" s="10">
        <f t="shared" si="8"/>
        <v>1910</v>
      </c>
      <c r="H22" s="10">
        <v>1910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7">
        <f t="shared" si="0"/>
        <v>1910</v>
      </c>
      <c r="U22" s="8">
        <f t="shared" si="1"/>
        <v>0</v>
      </c>
      <c r="V22" s="8"/>
      <c r="Z22" s="10">
        <v>447.73</v>
      </c>
      <c r="AA22" s="8">
        <f t="shared" si="9"/>
        <v>-1462.27</v>
      </c>
      <c r="AI22" s="8">
        <f t="shared" si="10"/>
        <v>1910</v>
      </c>
    </row>
    <row r="23" spans="2:35" ht="9.75" customHeight="1" x14ac:dyDescent="0.25">
      <c r="B23" s="64" t="s">
        <v>37</v>
      </c>
      <c r="C23" s="64" t="s">
        <v>38</v>
      </c>
      <c r="D23" s="64" t="s">
        <v>30</v>
      </c>
      <c r="E23" s="51">
        <f>+F23-G23</f>
        <v>0</v>
      </c>
      <c r="F23" s="10">
        <f t="shared" si="11"/>
        <v>830.16</v>
      </c>
      <c r="G23" s="10">
        <f t="shared" si="8"/>
        <v>830.16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/>
      <c r="O23" s="10"/>
      <c r="P23" s="10">
        <v>230.16</v>
      </c>
      <c r="Q23" s="10">
        <v>200</v>
      </c>
      <c r="R23" s="10">
        <v>200</v>
      </c>
      <c r="S23" s="10">
        <v>200</v>
      </c>
      <c r="T23" s="7">
        <f t="shared" si="0"/>
        <v>830.16</v>
      </c>
      <c r="U23" s="8">
        <f t="shared" si="1"/>
        <v>0</v>
      </c>
      <c r="V23" s="8"/>
      <c r="Z23" s="10"/>
      <c r="AA23" s="8"/>
      <c r="AI23" s="8">
        <f t="shared" si="10"/>
        <v>830.16</v>
      </c>
    </row>
    <row r="24" spans="2:35" ht="9.75" customHeight="1" x14ac:dyDescent="0.25">
      <c r="B24" s="64" t="s">
        <v>39</v>
      </c>
      <c r="C24" s="64" t="s">
        <v>40</v>
      </c>
      <c r="D24" s="64" t="s">
        <v>30</v>
      </c>
      <c r="E24" s="51">
        <f t="shared" si="12"/>
        <v>0</v>
      </c>
      <c r="F24" s="10">
        <f t="shared" si="11"/>
        <v>1000</v>
      </c>
      <c r="G24" s="10">
        <f t="shared" si="8"/>
        <v>1000</v>
      </c>
      <c r="H24" s="65">
        <v>1000</v>
      </c>
      <c r="I24" s="65">
        <v>0</v>
      </c>
      <c r="J24" s="65">
        <v>0</v>
      </c>
      <c r="K24" s="65">
        <v>0</v>
      </c>
      <c r="L24" s="65">
        <v>0</v>
      </c>
      <c r="M24" s="65">
        <v>0</v>
      </c>
      <c r="N24" s="65">
        <v>0</v>
      </c>
      <c r="O24" s="65">
        <v>0</v>
      </c>
      <c r="P24" s="65">
        <v>0</v>
      </c>
      <c r="Q24" s="10">
        <v>0</v>
      </c>
      <c r="R24" s="10">
        <v>0</v>
      </c>
      <c r="S24" s="10">
        <v>0</v>
      </c>
      <c r="T24" s="7">
        <f t="shared" si="0"/>
        <v>1000</v>
      </c>
      <c r="U24" s="8">
        <f t="shared" si="1"/>
        <v>0</v>
      </c>
      <c r="V24" s="8"/>
      <c r="Z24" s="10">
        <v>331.12</v>
      </c>
      <c r="AA24" s="8">
        <f t="shared" si="9"/>
        <v>-668.88</v>
      </c>
      <c r="AI24" s="8">
        <f t="shared" si="10"/>
        <v>1000</v>
      </c>
    </row>
    <row r="25" spans="2:35" ht="9.75" customHeight="1" x14ac:dyDescent="0.25">
      <c r="B25" s="64" t="s">
        <v>41</v>
      </c>
      <c r="C25" s="64" t="s">
        <v>42</v>
      </c>
      <c r="D25" s="64" t="s">
        <v>30</v>
      </c>
      <c r="E25" s="51">
        <f t="shared" si="12"/>
        <v>0</v>
      </c>
      <c r="F25" s="10">
        <f t="shared" si="11"/>
        <v>1000</v>
      </c>
      <c r="G25" s="10">
        <f t="shared" si="8"/>
        <v>1000</v>
      </c>
      <c r="H25" s="65">
        <v>1000</v>
      </c>
      <c r="I25" s="65">
        <v>0</v>
      </c>
      <c r="J25" s="65">
        <v>0</v>
      </c>
      <c r="K25" s="65">
        <v>0</v>
      </c>
      <c r="L25" s="65">
        <v>0</v>
      </c>
      <c r="M25" s="65">
        <v>0</v>
      </c>
      <c r="N25" s="65">
        <v>0</v>
      </c>
      <c r="O25" s="65">
        <v>0</v>
      </c>
      <c r="P25" s="65">
        <v>0</v>
      </c>
      <c r="Q25" s="10">
        <v>0</v>
      </c>
      <c r="R25" s="10">
        <v>0</v>
      </c>
      <c r="S25" s="10">
        <v>0</v>
      </c>
      <c r="T25" s="7">
        <f t="shared" si="0"/>
        <v>1000</v>
      </c>
      <c r="U25" s="8">
        <f t="shared" si="1"/>
        <v>0</v>
      </c>
      <c r="V25" s="8"/>
      <c r="Z25" s="10">
        <v>486.94</v>
      </c>
      <c r="AA25" s="8">
        <f t="shared" si="9"/>
        <v>-513.05999999999995</v>
      </c>
      <c r="AI25" s="8">
        <f t="shared" si="10"/>
        <v>1000</v>
      </c>
    </row>
    <row r="26" spans="2:35" ht="9.75" customHeight="1" x14ac:dyDescent="0.25">
      <c r="B26" s="64" t="s">
        <v>43</v>
      </c>
      <c r="C26" s="64" t="s">
        <v>44</v>
      </c>
      <c r="D26" s="64" t="s">
        <v>30</v>
      </c>
      <c r="E26" s="51">
        <f t="shared" si="12"/>
        <v>0</v>
      </c>
      <c r="F26" s="10">
        <f t="shared" si="11"/>
        <v>1000</v>
      </c>
      <c r="G26" s="10">
        <f t="shared" si="8"/>
        <v>1000</v>
      </c>
      <c r="H26" s="65">
        <v>1000</v>
      </c>
      <c r="I26" s="65">
        <v>0</v>
      </c>
      <c r="J26" s="65">
        <v>0</v>
      </c>
      <c r="K26" s="65">
        <v>0</v>
      </c>
      <c r="L26" s="65">
        <v>0</v>
      </c>
      <c r="M26" s="65">
        <v>0</v>
      </c>
      <c r="N26" s="65">
        <v>0</v>
      </c>
      <c r="O26" s="65">
        <v>0</v>
      </c>
      <c r="P26" s="65">
        <v>0</v>
      </c>
      <c r="Q26" s="10">
        <v>0</v>
      </c>
      <c r="R26" s="10">
        <v>0</v>
      </c>
      <c r="S26" s="10">
        <v>0</v>
      </c>
      <c r="T26" s="7">
        <f t="shared" si="0"/>
        <v>1000</v>
      </c>
      <c r="U26" s="8">
        <f t="shared" si="1"/>
        <v>0</v>
      </c>
      <c r="V26" s="8"/>
      <c r="Z26" s="10">
        <v>302.98</v>
      </c>
      <c r="AA26" s="8">
        <f t="shared" si="9"/>
        <v>-697.02</v>
      </c>
      <c r="AI26" s="8">
        <f t="shared" si="10"/>
        <v>1000</v>
      </c>
    </row>
    <row r="27" spans="2:35" ht="9.75" customHeight="1" x14ac:dyDescent="0.25">
      <c r="B27" s="64" t="s">
        <v>45</v>
      </c>
      <c r="C27" s="64" t="s">
        <v>46</v>
      </c>
      <c r="D27" s="64" t="s">
        <v>30</v>
      </c>
      <c r="E27" s="51">
        <f t="shared" si="12"/>
        <v>0</v>
      </c>
      <c r="F27" s="10">
        <f t="shared" si="11"/>
        <v>1000</v>
      </c>
      <c r="G27" s="10">
        <f t="shared" si="8"/>
        <v>1000</v>
      </c>
      <c r="H27" s="65">
        <v>1000</v>
      </c>
      <c r="I27" s="65">
        <v>0</v>
      </c>
      <c r="J27" s="65">
        <v>0</v>
      </c>
      <c r="K27" s="65">
        <v>0</v>
      </c>
      <c r="L27" s="65">
        <v>0</v>
      </c>
      <c r="M27" s="65">
        <v>0</v>
      </c>
      <c r="N27" s="65">
        <v>0</v>
      </c>
      <c r="O27" s="65">
        <v>0</v>
      </c>
      <c r="P27" s="65">
        <v>0</v>
      </c>
      <c r="Q27" s="10">
        <v>0</v>
      </c>
      <c r="R27" s="10">
        <v>0</v>
      </c>
      <c r="S27" s="10">
        <v>0</v>
      </c>
      <c r="T27" s="7">
        <f t="shared" ref="T27:T29" si="13">SUM(H27:S27)</f>
        <v>1000</v>
      </c>
      <c r="U27" s="8">
        <f t="shared" si="1"/>
        <v>0</v>
      </c>
      <c r="V27" s="8"/>
      <c r="Z27" s="10">
        <v>302.98</v>
      </c>
      <c r="AA27" s="8">
        <f t="shared" si="9"/>
        <v>-697.02</v>
      </c>
      <c r="AI27" s="8">
        <f t="shared" si="10"/>
        <v>1000</v>
      </c>
    </row>
    <row r="28" spans="2:35" ht="9.75" customHeight="1" x14ac:dyDescent="0.25">
      <c r="B28" s="64" t="s">
        <v>47</v>
      </c>
      <c r="C28" s="64" t="s">
        <v>48</v>
      </c>
      <c r="D28" s="64" t="s">
        <v>30</v>
      </c>
      <c r="E28" s="51">
        <f t="shared" si="12"/>
        <v>0</v>
      </c>
      <c r="F28" s="10">
        <f t="shared" si="11"/>
        <v>1000</v>
      </c>
      <c r="G28" s="10">
        <f t="shared" si="8"/>
        <v>1000</v>
      </c>
      <c r="H28" s="65">
        <v>1000</v>
      </c>
      <c r="I28" s="65">
        <v>0</v>
      </c>
      <c r="J28" s="65">
        <v>0</v>
      </c>
      <c r="K28" s="65">
        <v>0</v>
      </c>
      <c r="L28" s="65">
        <v>0</v>
      </c>
      <c r="M28" s="65">
        <v>0</v>
      </c>
      <c r="N28" s="65">
        <v>0</v>
      </c>
      <c r="O28" s="65">
        <v>0</v>
      </c>
      <c r="P28" s="65">
        <v>0</v>
      </c>
      <c r="Q28" s="10">
        <v>0</v>
      </c>
      <c r="R28" s="10">
        <v>0</v>
      </c>
      <c r="S28" s="10">
        <v>0</v>
      </c>
      <c r="T28" s="7">
        <f t="shared" si="13"/>
        <v>1000</v>
      </c>
      <c r="U28" s="8">
        <f t="shared" si="1"/>
        <v>0</v>
      </c>
      <c r="V28" s="8"/>
      <c r="Z28" s="10">
        <v>302.98</v>
      </c>
      <c r="AA28" s="8">
        <f t="shared" si="9"/>
        <v>-697.02</v>
      </c>
      <c r="AI28" s="8">
        <f t="shared" si="10"/>
        <v>1000</v>
      </c>
    </row>
    <row r="29" spans="2:35" ht="9.75" customHeight="1" x14ac:dyDescent="0.25">
      <c r="B29" s="64" t="s">
        <v>49</v>
      </c>
      <c r="C29" s="64" t="s">
        <v>50</v>
      </c>
      <c r="D29" s="64" t="s">
        <v>30</v>
      </c>
      <c r="E29" s="51">
        <f t="shared" si="12"/>
        <v>0</v>
      </c>
      <c r="F29" s="10">
        <f t="shared" si="11"/>
        <v>1000</v>
      </c>
      <c r="G29" s="10">
        <f t="shared" si="8"/>
        <v>1000</v>
      </c>
      <c r="H29" s="65">
        <v>1000</v>
      </c>
      <c r="I29" s="65">
        <v>0</v>
      </c>
      <c r="J29" s="65">
        <v>0</v>
      </c>
      <c r="K29" s="65">
        <v>0</v>
      </c>
      <c r="L29" s="65">
        <v>0</v>
      </c>
      <c r="M29" s="65">
        <v>0</v>
      </c>
      <c r="N29" s="65">
        <v>0</v>
      </c>
      <c r="O29" s="65">
        <v>0</v>
      </c>
      <c r="P29" s="65">
        <v>0</v>
      </c>
      <c r="Q29" s="10">
        <v>0</v>
      </c>
      <c r="R29" s="10">
        <v>0</v>
      </c>
      <c r="S29" s="10">
        <v>0</v>
      </c>
      <c r="T29" s="7">
        <f t="shared" si="13"/>
        <v>1000</v>
      </c>
      <c r="U29" s="8">
        <f t="shared" si="1"/>
        <v>0</v>
      </c>
      <c r="V29" s="8"/>
      <c r="Z29" s="10">
        <v>302.98</v>
      </c>
      <c r="AA29" s="8">
        <f t="shared" si="9"/>
        <v>-697.02</v>
      </c>
      <c r="AI29" s="8">
        <f t="shared" si="10"/>
        <v>1000</v>
      </c>
    </row>
    <row r="30" spans="2:35" ht="9.75" customHeight="1" x14ac:dyDescent="0.25">
      <c r="B30" s="62" t="s">
        <v>51</v>
      </c>
      <c r="C30" s="62" t="s">
        <v>52</v>
      </c>
      <c r="D30" s="62"/>
      <c r="E30" s="51">
        <f t="shared" ref="E30:E32" si="14">SUM(H30:S30)-G30</f>
        <v>0</v>
      </c>
      <c r="F30" s="10">
        <f>+G30-'[1]RESULT.EJERC.Y PROYEC.2025'!J27</f>
        <v>891.37600000016391</v>
      </c>
      <c r="G30" s="63">
        <f t="shared" ref="G30:S30" si="15">+G32+G35+G37+G42+G48+G47+G50</f>
        <v>2137458.2199999997</v>
      </c>
      <c r="H30" s="63">
        <f t="shared" si="15"/>
        <v>1235936</v>
      </c>
      <c r="I30" s="63">
        <f t="shared" si="15"/>
        <v>291386</v>
      </c>
      <c r="J30" s="63">
        <f t="shared" si="15"/>
        <v>204031</v>
      </c>
      <c r="K30" s="63">
        <f t="shared" si="15"/>
        <v>85448</v>
      </c>
      <c r="L30" s="63">
        <f t="shared" si="15"/>
        <v>74366</v>
      </c>
      <c r="M30" s="63">
        <f t="shared" si="15"/>
        <v>52331</v>
      </c>
      <c r="N30" s="63">
        <f t="shared" si="15"/>
        <v>47525</v>
      </c>
      <c r="O30" s="63">
        <f t="shared" si="15"/>
        <v>59446</v>
      </c>
      <c r="P30" s="63">
        <f t="shared" si="15"/>
        <v>29418.2</v>
      </c>
      <c r="Q30" s="63">
        <f t="shared" si="15"/>
        <v>22271.16</v>
      </c>
      <c r="R30" s="63">
        <f t="shared" si="15"/>
        <v>20413.04</v>
      </c>
      <c r="S30" s="63">
        <f t="shared" si="15"/>
        <v>14886.82</v>
      </c>
      <c r="T30" s="7">
        <f t="shared" si="0"/>
        <v>2137458.2199999997</v>
      </c>
      <c r="U30" s="8">
        <f t="shared" si="1"/>
        <v>0</v>
      </c>
      <c r="V30" s="8"/>
      <c r="Z30" s="63"/>
      <c r="AA30" s="8"/>
      <c r="AH30" s="61">
        <v>303322.94</v>
      </c>
      <c r="AI30" s="8"/>
    </row>
    <row r="31" spans="2:35" ht="9.75" customHeight="1" x14ac:dyDescent="0.25">
      <c r="B31" s="62" t="s">
        <v>51</v>
      </c>
      <c r="C31" s="62" t="s">
        <v>53</v>
      </c>
      <c r="D31" s="62"/>
      <c r="E31" s="51">
        <f t="shared" si="12"/>
        <v>0</v>
      </c>
      <c r="F31" s="10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7">
        <f t="shared" si="0"/>
        <v>0</v>
      </c>
      <c r="U31" s="8">
        <f t="shared" si="1"/>
        <v>0</v>
      </c>
      <c r="V31" s="8"/>
      <c r="Z31" s="63"/>
      <c r="AA31" s="8"/>
      <c r="AI31" s="8"/>
    </row>
    <row r="32" spans="2:35" ht="9.75" customHeight="1" x14ac:dyDescent="0.25">
      <c r="B32" s="62" t="s">
        <v>54</v>
      </c>
      <c r="C32" s="62" t="s">
        <v>55</v>
      </c>
      <c r="D32" s="62"/>
      <c r="E32" s="51">
        <f t="shared" si="14"/>
        <v>0</v>
      </c>
      <c r="F32" s="10"/>
      <c r="G32" s="63">
        <f t="shared" ref="G32:S32" si="16">+G33+G34</f>
        <v>216578.46000000002</v>
      </c>
      <c r="H32" s="63">
        <f t="shared" si="16"/>
        <v>119866</v>
      </c>
      <c r="I32" s="63">
        <f t="shared" si="16"/>
        <v>37211</v>
      </c>
      <c r="J32" s="63">
        <f t="shared" si="16"/>
        <v>39196</v>
      </c>
      <c r="K32" s="63">
        <f t="shared" si="16"/>
        <v>2419</v>
      </c>
      <c r="L32" s="63">
        <f t="shared" si="16"/>
        <v>2228</v>
      </c>
      <c r="M32" s="63">
        <f t="shared" si="16"/>
        <v>3236</v>
      </c>
      <c r="N32" s="63">
        <f t="shared" si="16"/>
        <v>2537</v>
      </c>
      <c r="O32" s="63">
        <f t="shared" si="16"/>
        <v>3065</v>
      </c>
      <c r="P32" s="63">
        <f t="shared" si="16"/>
        <v>1734.3</v>
      </c>
      <c r="Q32" s="63">
        <f t="shared" si="16"/>
        <v>1782.8</v>
      </c>
      <c r="R32" s="63">
        <f t="shared" si="16"/>
        <v>1827.02</v>
      </c>
      <c r="S32" s="63">
        <f t="shared" si="16"/>
        <v>1476.34</v>
      </c>
      <c r="T32" s="7">
        <f t="shared" si="0"/>
        <v>216578.45999999996</v>
      </c>
      <c r="U32" s="8">
        <f t="shared" si="1"/>
        <v>0</v>
      </c>
      <c r="V32" s="8"/>
      <c r="Z32" s="63"/>
      <c r="AA32" s="8"/>
      <c r="AG32" s="10">
        <f>+G30*AH32/AH30</f>
        <v>7.0468070103764644</v>
      </c>
      <c r="AH32" s="66">
        <v>1</v>
      </c>
      <c r="AI32" s="8"/>
    </row>
    <row r="33" spans="2:35" ht="9.75" customHeight="1" x14ac:dyDescent="0.25">
      <c r="B33" s="64" t="s">
        <v>56</v>
      </c>
      <c r="C33" s="64" t="s">
        <v>57</v>
      </c>
      <c r="D33" s="64" t="s">
        <v>58</v>
      </c>
      <c r="E33" s="51">
        <f t="shared" ref="E33:E47" si="17">+F33-G33</f>
        <v>0</v>
      </c>
      <c r="F33" s="10">
        <f t="shared" si="11"/>
        <v>117061.46</v>
      </c>
      <c r="G33" s="10">
        <f>SUM(H33:S33)</f>
        <v>117061.46</v>
      </c>
      <c r="H33" s="65">
        <v>88655</v>
      </c>
      <c r="I33" s="65">
        <v>16000</v>
      </c>
      <c r="J33" s="65">
        <v>3000</v>
      </c>
      <c r="K33" s="65">
        <v>1208</v>
      </c>
      <c r="L33" s="65">
        <v>1017</v>
      </c>
      <c r="M33" s="65">
        <v>2025</v>
      </c>
      <c r="N33" s="10">
        <v>1326</v>
      </c>
      <c r="O33" s="10">
        <v>1854</v>
      </c>
      <c r="P33" s="10">
        <v>523.29999999999995</v>
      </c>
      <c r="Q33" s="10">
        <v>571.79999999999995</v>
      </c>
      <c r="R33" s="10">
        <v>616.02</v>
      </c>
      <c r="S33" s="10">
        <v>265.33999999999997</v>
      </c>
      <c r="T33" s="7">
        <f t="shared" si="0"/>
        <v>117061.46</v>
      </c>
      <c r="U33" s="8">
        <f t="shared" si="1"/>
        <v>0</v>
      </c>
      <c r="V33" s="8"/>
      <c r="Z33" s="10"/>
      <c r="AA33" s="8"/>
      <c r="AI33" s="8">
        <f>+G33</f>
        <v>117061.46</v>
      </c>
    </row>
    <row r="34" spans="2:35" ht="9.75" customHeight="1" x14ac:dyDescent="0.25">
      <c r="B34" s="67" t="s">
        <v>59</v>
      </c>
      <c r="C34" s="64" t="s">
        <v>60</v>
      </c>
      <c r="D34" s="64" t="s">
        <v>58</v>
      </c>
      <c r="E34" s="51">
        <f t="shared" si="17"/>
        <v>0</v>
      </c>
      <c r="F34" s="10">
        <f t="shared" si="11"/>
        <v>99517</v>
      </c>
      <c r="G34" s="10">
        <f>SUM(H34:S34)</f>
        <v>99517</v>
      </c>
      <c r="H34" s="65">
        <v>31211</v>
      </c>
      <c r="I34" s="65">
        <v>21211</v>
      </c>
      <c r="J34" s="65">
        <v>36196</v>
      </c>
      <c r="K34" s="65">
        <v>1211</v>
      </c>
      <c r="L34" s="65">
        <v>1211</v>
      </c>
      <c r="M34" s="65">
        <v>1211</v>
      </c>
      <c r="N34" s="65">
        <v>1211</v>
      </c>
      <c r="O34" s="65">
        <v>1211</v>
      </c>
      <c r="P34" s="65">
        <v>1211</v>
      </c>
      <c r="Q34" s="65">
        <v>1211</v>
      </c>
      <c r="R34" s="65">
        <v>1211</v>
      </c>
      <c r="S34" s="65">
        <v>1211</v>
      </c>
      <c r="T34" s="7">
        <f t="shared" si="0"/>
        <v>99517</v>
      </c>
      <c r="U34" s="8">
        <f t="shared" si="1"/>
        <v>0</v>
      </c>
      <c r="V34" s="8"/>
      <c r="Z34" s="10"/>
      <c r="AA34" s="8"/>
      <c r="AI34" s="8"/>
    </row>
    <row r="35" spans="2:35" ht="9.75" customHeight="1" x14ac:dyDescent="0.25">
      <c r="B35" s="62" t="s">
        <v>61</v>
      </c>
      <c r="C35" s="62" t="s">
        <v>62</v>
      </c>
      <c r="D35" s="62"/>
      <c r="E35" s="51">
        <f t="shared" ref="E35:E37" si="18">SUM(H35:S35)-G35</f>
        <v>0</v>
      </c>
      <c r="F35" s="10"/>
      <c r="G35" s="63">
        <f>+G36</f>
        <v>469401.76</v>
      </c>
      <c r="H35" s="63">
        <f t="shared" ref="H35:S35" si="19">+H36</f>
        <v>341000</v>
      </c>
      <c r="I35" s="63">
        <f t="shared" si="19"/>
        <v>58000</v>
      </c>
      <c r="J35" s="63">
        <f t="shared" si="19"/>
        <v>10000</v>
      </c>
      <c r="K35" s="63">
        <f t="shared" si="19"/>
        <v>18000</v>
      </c>
      <c r="L35" s="63">
        <f t="shared" si="19"/>
        <v>8995</v>
      </c>
      <c r="M35" s="63">
        <f t="shared" si="19"/>
        <v>5760</v>
      </c>
      <c r="N35" s="63">
        <f t="shared" si="19"/>
        <v>5623</v>
      </c>
      <c r="O35" s="63">
        <f t="shared" si="19"/>
        <v>9406</v>
      </c>
      <c r="P35" s="63">
        <f t="shared" si="19"/>
        <v>4133.8999999999996</v>
      </c>
      <c r="Q35" s="63">
        <f t="shared" si="19"/>
        <v>2557.36</v>
      </c>
      <c r="R35" s="63">
        <f t="shared" si="19"/>
        <v>3811.02</v>
      </c>
      <c r="S35" s="63">
        <f t="shared" si="19"/>
        <v>2115.48</v>
      </c>
      <c r="T35" s="7">
        <f t="shared" si="0"/>
        <v>469401.76</v>
      </c>
      <c r="U35" s="8">
        <f t="shared" si="1"/>
        <v>0</v>
      </c>
      <c r="V35" s="8"/>
      <c r="Z35" s="63"/>
      <c r="AA35" s="8"/>
      <c r="AI35" s="8"/>
    </row>
    <row r="36" spans="2:35" ht="9.75" customHeight="1" x14ac:dyDescent="0.25">
      <c r="B36" s="64" t="s">
        <v>63</v>
      </c>
      <c r="C36" s="64" t="s">
        <v>64</v>
      </c>
      <c r="D36" s="64" t="s">
        <v>58</v>
      </c>
      <c r="E36" s="51">
        <f t="shared" si="17"/>
        <v>0</v>
      </c>
      <c r="F36" s="10">
        <f t="shared" si="11"/>
        <v>469401.76</v>
      </c>
      <c r="G36" s="10">
        <f>SUM(H36:S36)</f>
        <v>469401.76</v>
      </c>
      <c r="H36" s="65">
        <v>341000</v>
      </c>
      <c r="I36" s="65">
        <v>58000</v>
      </c>
      <c r="J36" s="65">
        <v>10000</v>
      </c>
      <c r="K36" s="65">
        <v>18000</v>
      </c>
      <c r="L36" s="65">
        <v>8995</v>
      </c>
      <c r="M36" s="65">
        <v>5760</v>
      </c>
      <c r="N36" s="10">
        <v>5623</v>
      </c>
      <c r="O36" s="10">
        <v>9406</v>
      </c>
      <c r="P36" s="10">
        <v>4133.8999999999996</v>
      </c>
      <c r="Q36" s="10">
        <v>2557.36</v>
      </c>
      <c r="R36" s="10">
        <v>3811.02</v>
      </c>
      <c r="S36" s="10">
        <v>2115.48</v>
      </c>
      <c r="T36" s="7">
        <f t="shared" si="0"/>
        <v>469401.76</v>
      </c>
      <c r="U36" s="8">
        <f t="shared" si="1"/>
        <v>0</v>
      </c>
      <c r="V36" s="8"/>
      <c r="Z36" s="10"/>
      <c r="AA36" s="8"/>
      <c r="AI36" s="8">
        <f>+G36</f>
        <v>469401.76</v>
      </c>
    </row>
    <row r="37" spans="2:35" ht="9.75" customHeight="1" x14ac:dyDescent="0.25">
      <c r="B37" s="62" t="s">
        <v>65</v>
      </c>
      <c r="C37" s="62" t="s">
        <v>66</v>
      </c>
      <c r="D37" s="62"/>
      <c r="E37" s="51">
        <f t="shared" si="18"/>
        <v>0</v>
      </c>
      <c r="F37" s="10"/>
      <c r="G37" s="63">
        <f t="shared" ref="G37:S37" si="20">SUM(G38:G41)</f>
        <v>576698</v>
      </c>
      <c r="H37" s="63">
        <f t="shared" si="20"/>
        <v>359870</v>
      </c>
      <c r="I37" s="63">
        <f t="shared" si="20"/>
        <v>93125</v>
      </c>
      <c r="J37" s="63">
        <f t="shared" si="20"/>
        <v>70175</v>
      </c>
      <c r="K37" s="63">
        <f t="shared" si="20"/>
        <v>6069</v>
      </c>
      <c r="L37" s="63">
        <f t="shared" si="20"/>
        <v>7483</v>
      </c>
      <c r="M37" s="63">
        <f t="shared" si="20"/>
        <v>7375</v>
      </c>
      <c r="N37" s="63">
        <f t="shared" si="20"/>
        <v>5405</v>
      </c>
      <c r="O37" s="63">
        <f t="shared" si="20"/>
        <v>6115</v>
      </c>
      <c r="P37" s="63">
        <f t="shared" si="20"/>
        <v>5190</v>
      </c>
      <c r="Q37" s="63">
        <f t="shared" si="20"/>
        <v>6071</v>
      </c>
      <c r="R37" s="63">
        <f t="shared" si="20"/>
        <v>6135</v>
      </c>
      <c r="S37" s="63">
        <f t="shared" si="20"/>
        <v>3685</v>
      </c>
      <c r="T37" s="7">
        <f t="shared" si="0"/>
        <v>576698</v>
      </c>
      <c r="U37" s="8">
        <f t="shared" si="1"/>
        <v>0</v>
      </c>
      <c r="V37" s="8"/>
      <c r="Z37" s="63"/>
      <c r="AA37" s="8"/>
      <c r="AI37" s="8"/>
    </row>
    <row r="38" spans="2:35" ht="9.75" customHeight="1" x14ac:dyDescent="0.25">
      <c r="B38" s="64" t="s">
        <v>67</v>
      </c>
      <c r="C38" s="64" t="s">
        <v>68</v>
      </c>
      <c r="D38" s="64" t="s">
        <v>58</v>
      </c>
      <c r="E38" s="51">
        <f t="shared" si="17"/>
        <v>0</v>
      </c>
      <c r="F38" s="10">
        <f t="shared" si="11"/>
        <v>524093</v>
      </c>
      <c r="G38" s="10">
        <f>SUM(H38:S38)</f>
        <v>524093</v>
      </c>
      <c r="H38" s="65">
        <v>341000</v>
      </c>
      <c r="I38" s="65">
        <f>62100+19000</f>
        <v>81100</v>
      </c>
      <c r="J38" s="65">
        <v>57600</v>
      </c>
      <c r="K38" s="65">
        <v>4954</v>
      </c>
      <c r="L38" s="65">
        <v>6658</v>
      </c>
      <c r="M38" s="65">
        <v>6270</v>
      </c>
      <c r="N38" s="10">
        <v>4580</v>
      </c>
      <c r="O38" s="10">
        <v>5290</v>
      </c>
      <c r="P38" s="10">
        <v>4365</v>
      </c>
      <c r="Q38" s="10">
        <v>4676</v>
      </c>
      <c r="R38" s="10">
        <v>5310</v>
      </c>
      <c r="S38" s="10">
        <v>2290</v>
      </c>
      <c r="T38" s="7">
        <f t="shared" si="0"/>
        <v>524093</v>
      </c>
      <c r="U38" s="8">
        <f t="shared" si="1"/>
        <v>0</v>
      </c>
      <c r="V38" s="8"/>
      <c r="Z38" s="10"/>
      <c r="AA38" s="8"/>
      <c r="AG38" s="8">
        <v>76831.149999999994</v>
      </c>
      <c r="AH38" s="61">
        <f>+AG38*1.05</f>
        <v>80672.707500000004</v>
      </c>
      <c r="AI38" s="8">
        <f>+G38</f>
        <v>524093</v>
      </c>
    </row>
    <row r="39" spans="2:35" ht="9.75" customHeight="1" x14ac:dyDescent="0.25">
      <c r="B39" s="64" t="s">
        <v>69</v>
      </c>
      <c r="C39" s="64" t="s">
        <v>70</v>
      </c>
      <c r="D39" s="64" t="s">
        <v>58</v>
      </c>
      <c r="E39" s="51">
        <f t="shared" si="17"/>
        <v>0</v>
      </c>
      <c r="F39" s="10">
        <f t="shared" si="11"/>
        <v>13445</v>
      </c>
      <c r="G39" s="10">
        <f>SUM(H39:S39)</f>
        <v>13445</v>
      </c>
      <c r="H39" s="65">
        <v>4370</v>
      </c>
      <c r="I39" s="65">
        <v>825</v>
      </c>
      <c r="J39" s="65">
        <v>825</v>
      </c>
      <c r="K39" s="65">
        <v>825</v>
      </c>
      <c r="L39" s="65">
        <v>825</v>
      </c>
      <c r="M39" s="65">
        <v>825</v>
      </c>
      <c r="N39" s="65">
        <v>825</v>
      </c>
      <c r="O39" s="65">
        <v>825</v>
      </c>
      <c r="P39" s="65">
        <v>825</v>
      </c>
      <c r="Q39" s="65">
        <v>825</v>
      </c>
      <c r="R39" s="65">
        <v>825</v>
      </c>
      <c r="S39" s="65">
        <v>825</v>
      </c>
      <c r="T39" s="7">
        <f t="shared" si="0"/>
        <v>13445</v>
      </c>
      <c r="U39" s="8">
        <f t="shared" si="1"/>
        <v>0</v>
      </c>
      <c r="V39" s="8"/>
      <c r="Z39" s="10"/>
      <c r="AA39" s="8"/>
      <c r="AG39" s="8">
        <v>663.86</v>
      </c>
      <c r="AH39" s="61">
        <f t="shared" ref="AH39" si="21">+AG39*1.05</f>
        <v>697.053</v>
      </c>
      <c r="AI39" s="8">
        <f>+G39</f>
        <v>13445</v>
      </c>
    </row>
    <row r="40" spans="2:35" ht="9.75" customHeight="1" x14ac:dyDescent="0.25">
      <c r="B40" s="64" t="s">
        <v>71</v>
      </c>
      <c r="C40" s="64" t="s">
        <v>72</v>
      </c>
      <c r="D40" s="64" t="s">
        <v>58</v>
      </c>
      <c r="E40" s="51">
        <f t="shared" si="17"/>
        <v>0</v>
      </c>
      <c r="F40" s="10">
        <f t="shared" si="11"/>
        <v>39160</v>
      </c>
      <c r="G40" s="10">
        <f>SUM(H40:S40)</f>
        <v>39160</v>
      </c>
      <c r="H40" s="65">
        <v>14500</v>
      </c>
      <c r="I40" s="65">
        <v>11200</v>
      </c>
      <c r="J40" s="65">
        <v>11750</v>
      </c>
      <c r="K40" s="65">
        <v>290</v>
      </c>
      <c r="L40" s="65">
        <v>0</v>
      </c>
      <c r="M40" s="65">
        <v>280</v>
      </c>
      <c r="N40" s="10">
        <v>0</v>
      </c>
      <c r="O40" s="10">
        <v>0</v>
      </c>
      <c r="P40" s="10">
        <v>0</v>
      </c>
      <c r="Q40" s="10">
        <v>570</v>
      </c>
      <c r="R40" s="10">
        <v>0</v>
      </c>
      <c r="S40" s="10">
        <v>570</v>
      </c>
      <c r="T40" s="7">
        <f t="shared" si="0"/>
        <v>39160</v>
      </c>
      <c r="U40" s="8">
        <f t="shared" si="1"/>
        <v>0</v>
      </c>
      <c r="V40" s="8"/>
      <c r="Z40" s="10"/>
      <c r="AA40" s="8"/>
      <c r="AG40" s="8">
        <v>2370.7800000000002</v>
      </c>
      <c r="AH40" s="61">
        <f>+AG40*1.1</f>
        <v>2607.8580000000006</v>
      </c>
      <c r="AI40" s="8">
        <f>+G40</f>
        <v>39160</v>
      </c>
    </row>
    <row r="41" spans="2:35" ht="9.75" customHeight="1" x14ac:dyDescent="0.25">
      <c r="B41" s="64" t="s">
        <v>73</v>
      </c>
      <c r="C41" s="64" t="s">
        <v>74</v>
      </c>
      <c r="D41" s="64" t="s">
        <v>58</v>
      </c>
      <c r="E41" s="51">
        <f t="shared" si="17"/>
        <v>0</v>
      </c>
      <c r="F41" s="10">
        <f t="shared" si="11"/>
        <v>0</v>
      </c>
      <c r="G41" s="10">
        <f>SUM(H41:S41)</f>
        <v>0</v>
      </c>
      <c r="H41" s="65">
        <v>0</v>
      </c>
      <c r="I41" s="65">
        <v>0</v>
      </c>
      <c r="J41" s="65">
        <v>0</v>
      </c>
      <c r="K41" s="65">
        <v>0</v>
      </c>
      <c r="L41" s="65">
        <v>0</v>
      </c>
      <c r="M41" s="65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7">
        <f t="shared" si="0"/>
        <v>0</v>
      </c>
      <c r="U41" s="8">
        <f t="shared" si="1"/>
        <v>0</v>
      </c>
      <c r="V41" s="8"/>
      <c r="Z41" s="10"/>
      <c r="AA41" s="8"/>
      <c r="AG41" s="8"/>
      <c r="AI41" s="8"/>
    </row>
    <row r="42" spans="2:35" ht="9.75" customHeight="1" x14ac:dyDescent="0.25">
      <c r="B42" s="62" t="s">
        <v>75</v>
      </c>
      <c r="C42" s="62" t="s">
        <v>76</v>
      </c>
      <c r="D42" s="62"/>
      <c r="E42" s="51">
        <f t="shared" ref="E42" si="22">SUM(H42:S42)-G42</f>
        <v>0</v>
      </c>
      <c r="F42" s="10"/>
      <c r="G42" s="63">
        <f t="shared" ref="G42:S42" si="23">SUM(G43:G46)</f>
        <v>289480</v>
      </c>
      <c r="H42" s="63">
        <f t="shared" si="23"/>
        <v>234400</v>
      </c>
      <c r="I42" s="63">
        <f t="shared" si="23"/>
        <v>20050</v>
      </c>
      <c r="J42" s="63">
        <f t="shared" si="23"/>
        <v>9960</v>
      </c>
      <c r="K42" s="63">
        <f t="shared" si="23"/>
        <v>4960</v>
      </c>
      <c r="L42" s="63">
        <f t="shared" si="23"/>
        <v>3060</v>
      </c>
      <c r="M42" s="63">
        <f t="shared" si="23"/>
        <v>1960</v>
      </c>
      <c r="N42" s="63">
        <f t="shared" si="23"/>
        <v>3760</v>
      </c>
      <c r="O42" s="63">
        <f t="shared" si="23"/>
        <v>3760</v>
      </c>
      <c r="P42" s="63">
        <f t="shared" si="23"/>
        <v>3760</v>
      </c>
      <c r="Q42" s="63">
        <f t="shared" si="23"/>
        <v>2360</v>
      </c>
      <c r="R42" s="63">
        <f t="shared" si="23"/>
        <v>640</v>
      </c>
      <c r="S42" s="63">
        <f t="shared" si="23"/>
        <v>810</v>
      </c>
      <c r="T42" s="7">
        <f t="shared" si="0"/>
        <v>289480</v>
      </c>
      <c r="U42" s="8">
        <f t="shared" si="1"/>
        <v>0</v>
      </c>
      <c r="V42" s="8"/>
      <c r="Z42" s="63"/>
      <c r="AA42" s="8"/>
      <c r="AH42" s="61">
        <f>+AH40-G40</f>
        <v>-36552.142</v>
      </c>
      <c r="AI42" s="8"/>
    </row>
    <row r="43" spans="2:35" ht="9.75" customHeight="1" x14ac:dyDescent="0.25">
      <c r="B43" s="64" t="s">
        <v>77</v>
      </c>
      <c r="C43" s="64" t="s">
        <v>78</v>
      </c>
      <c r="D43" s="64" t="s">
        <v>58</v>
      </c>
      <c r="E43" s="51">
        <f t="shared" si="17"/>
        <v>0</v>
      </c>
      <c r="F43" s="10">
        <f t="shared" si="11"/>
        <v>10550</v>
      </c>
      <c r="G43" s="10">
        <f>SUM(H43:S43)</f>
        <v>10550</v>
      </c>
      <c r="H43" s="65">
        <v>5500</v>
      </c>
      <c r="I43" s="65">
        <v>450</v>
      </c>
      <c r="J43" s="65">
        <v>460</v>
      </c>
      <c r="K43" s="65">
        <v>460</v>
      </c>
      <c r="L43" s="65">
        <v>460</v>
      </c>
      <c r="M43" s="65">
        <v>460</v>
      </c>
      <c r="N43" s="65">
        <v>460</v>
      </c>
      <c r="O43" s="65">
        <v>460</v>
      </c>
      <c r="P43" s="65">
        <v>460</v>
      </c>
      <c r="Q43" s="65">
        <v>460</v>
      </c>
      <c r="R43" s="65">
        <v>460</v>
      </c>
      <c r="S43" s="65">
        <v>460</v>
      </c>
      <c r="T43" s="7">
        <f t="shared" si="0"/>
        <v>10550</v>
      </c>
      <c r="U43" s="8">
        <f t="shared" si="1"/>
        <v>0</v>
      </c>
      <c r="V43" s="8"/>
      <c r="Z43" s="10"/>
      <c r="AA43" s="8"/>
      <c r="AG43" s="8">
        <v>1343.51</v>
      </c>
      <c r="AH43" s="61">
        <f>+AG43*1.1</f>
        <v>1477.8610000000001</v>
      </c>
      <c r="AI43" s="8">
        <f>+G43</f>
        <v>10550</v>
      </c>
    </row>
    <row r="44" spans="2:35" ht="9.75" customHeight="1" x14ac:dyDescent="0.25">
      <c r="B44" s="64" t="s">
        <v>79</v>
      </c>
      <c r="C44" s="64" t="s">
        <v>80</v>
      </c>
      <c r="D44" s="64" t="s">
        <v>58</v>
      </c>
      <c r="E44" s="51">
        <f t="shared" si="17"/>
        <v>0</v>
      </c>
      <c r="F44" s="10">
        <f t="shared" si="11"/>
        <v>276030</v>
      </c>
      <c r="G44" s="10">
        <f>SUM(H44:S44)</f>
        <v>276030</v>
      </c>
      <c r="H44" s="65">
        <v>226000</v>
      </c>
      <c r="I44" s="65">
        <v>19600</v>
      </c>
      <c r="J44" s="65">
        <v>9500</v>
      </c>
      <c r="K44" s="65">
        <v>4500</v>
      </c>
      <c r="L44" s="65">
        <v>2600</v>
      </c>
      <c r="M44" s="65">
        <v>1500</v>
      </c>
      <c r="N44" s="10">
        <v>3300</v>
      </c>
      <c r="O44" s="10">
        <v>3300</v>
      </c>
      <c r="P44" s="10">
        <v>3300</v>
      </c>
      <c r="Q44" s="10">
        <v>1900</v>
      </c>
      <c r="R44" s="10">
        <v>180</v>
      </c>
      <c r="S44" s="10">
        <v>350</v>
      </c>
      <c r="T44" s="7">
        <f t="shared" si="0"/>
        <v>276030</v>
      </c>
      <c r="U44" s="8">
        <f t="shared" si="1"/>
        <v>0</v>
      </c>
      <c r="V44" s="8"/>
      <c r="Z44" s="10"/>
      <c r="AA44" s="8"/>
      <c r="AG44" s="8">
        <v>70378.94</v>
      </c>
      <c r="AH44" s="61">
        <f>+AG44*1.1</f>
        <v>77416.834000000003</v>
      </c>
      <c r="AI44" s="8">
        <f>+G44</f>
        <v>276030</v>
      </c>
    </row>
    <row r="45" spans="2:35" ht="9.75" customHeight="1" x14ac:dyDescent="0.25">
      <c r="B45" s="67" t="s">
        <v>81</v>
      </c>
      <c r="C45" s="64" t="s">
        <v>82</v>
      </c>
      <c r="D45" s="64" t="s">
        <v>58</v>
      </c>
      <c r="E45" s="51">
        <f t="shared" si="17"/>
        <v>0</v>
      </c>
      <c r="F45" s="10">
        <f t="shared" si="11"/>
        <v>2900</v>
      </c>
      <c r="G45" s="10">
        <f>SUM(H45:S45)</f>
        <v>2900</v>
      </c>
      <c r="H45" s="65">
        <v>2900</v>
      </c>
      <c r="I45" s="65">
        <v>0</v>
      </c>
      <c r="J45" s="65">
        <v>0</v>
      </c>
      <c r="K45" s="65">
        <v>0</v>
      </c>
      <c r="L45" s="65">
        <v>0</v>
      </c>
      <c r="M45" s="65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7">
        <f t="shared" si="0"/>
        <v>2900</v>
      </c>
      <c r="U45" s="8">
        <f t="shared" si="1"/>
        <v>0</v>
      </c>
      <c r="V45" s="8"/>
      <c r="Z45" s="10"/>
      <c r="AA45" s="8"/>
      <c r="AG45" s="8"/>
      <c r="AI45" s="8"/>
    </row>
    <row r="46" spans="2:35" ht="9.75" customHeight="1" x14ac:dyDescent="0.25">
      <c r="B46" s="64" t="s">
        <v>83</v>
      </c>
      <c r="C46" s="64" t="s">
        <v>84</v>
      </c>
      <c r="D46" s="64" t="s">
        <v>58</v>
      </c>
      <c r="E46" s="51">
        <f t="shared" si="17"/>
        <v>0</v>
      </c>
      <c r="F46" s="10">
        <f t="shared" si="11"/>
        <v>0</v>
      </c>
      <c r="G46" s="10">
        <f>SUM(H46:S46)</f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7">
        <f t="shared" si="0"/>
        <v>0</v>
      </c>
      <c r="U46" s="8">
        <f t="shared" si="1"/>
        <v>0</v>
      </c>
      <c r="V46" s="8"/>
      <c r="Z46" s="10">
        <v>1383.38</v>
      </c>
      <c r="AA46" s="8">
        <f t="shared" si="9"/>
        <v>1383.38</v>
      </c>
      <c r="AG46" s="8">
        <v>1257.5</v>
      </c>
      <c r="AH46" s="61">
        <f>+AG46*1.1</f>
        <v>1383.25</v>
      </c>
      <c r="AI46" s="8">
        <f>+G46</f>
        <v>0</v>
      </c>
    </row>
    <row r="47" spans="2:35" ht="9.75" customHeight="1" x14ac:dyDescent="0.25">
      <c r="B47" s="62" t="s">
        <v>85</v>
      </c>
      <c r="C47" s="62" t="s">
        <v>86</v>
      </c>
      <c r="D47" s="64" t="s">
        <v>58</v>
      </c>
      <c r="E47" s="51">
        <f t="shared" si="17"/>
        <v>0</v>
      </c>
      <c r="F47" s="10">
        <f t="shared" si="11"/>
        <v>0</v>
      </c>
      <c r="G47" s="63">
        <f>SUM(H47:S47)</f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7">
        <f t="shared" si="0"/>
        <v>0</v>
      </c>
      <c r="U47" s="8">
        <f t="shared" si="1"/>
        <v>0</v>
      </c>
      <c r="V47" s="8"/>
      <c r="Z47" s="10">
        <v>-100627.13</v>
      </c>
      <c r="AA47" s="8">
        <f t="shared" si="9"/>
        <v>-100627.13</v>
      </c>
      <c r="AI47" s="8">
        <f>+G47</f>
        <v>0</v>
      </c>
    </row>
    <row r="48" spans="2:35" ht="9.75" customHeight="1" x14ac:dyDescent="0.25">
      <c r="B48" s="62" t="s">
        <v>87</v>
      </c>
      <c r="C48" s="62" t="s">
        <v>88</v>
      </c>
      <c r="D48" s="62"/>
      <c r="E48" s="51">
        <f>SUM(H48:S48)-G48</f>
        <v>0</v>
      </c>
      <c r="F48" s="10"/>
      <c r="G48" s="63">
        <f>+G49</f>
        <v>220800</v>
      </c>
      <c r="H48" s="63">
        <f t="shared" ref="H48:S48" si="24">+H49</f>
        <v>22800</v>
      </c>
      <c r="I48" s="63">
        <f t="shared" si="24"/>
        <v>24500</v>
      </c>
      <c r="J48" s="63">
        <f t="shared" si="24"/>
        <v>39000</v>
      </c>
      <c r="K48" s="63">
        <f t="shared" si="24"/>
        <v>26500</v>
      </c>
      <c r="L48" s="63">
        <f t="shared" si="24"/>
        <v>30600</v>
      </c>
      <c r="M48" s="63">
        <f t="shared" si="24"/>
        <v>20000</v>
      </c>
      <c r="N48" s="63">
        <f t="shared" si="24"/>
        <v>12600</v>
      </c>
      <c r="O48" s="63">
        <f t="shared" si="24"/>
        <v>13900</v>
      </c>
      <c r="P48" s="63">
        <f t="shared" si="24"/>
        <v>12600</v>
      </c>
      <c r="Q48" s="63">
        <f t="shared" si="24"/>
        <v>7500</v>
      </c>
      <c r="R48" s="63">
        <f t="shared" si="24"/>
        <v>6000</v>
      </c>
      <c r="S48" s="63">
        <f t="shared" si="24"/>
        <v>4800</v>
      </c>
      <c r="T48" s="7">
        <f t="shared" ref="T48" si="25">SUM(H48:S48)</f>
        <v>220800</v>
      </c>
      <c r="U48" s="8">
        <f t="shared" si="1"/>
        <v>0</v>
      </c>
      <c r="V48" s="8"/>
      <c r="W48" s="63"/>
      <c r="X48" s="63"/>
      <c r="Y48" s="63"/>
      <c r="Z48" s="63"/>
      <c r="AA48" s="8"/>
      <c r="AB48" s="63"/>
      <c r="AC48" s="63"/>
      <c r="AD48" s="63"/>
      <c r="AE48" s="63"/>
      <c r="AF48" s="63"/>
      <c r="AH48" s="68"/>
      <c r="AI48" s="8"/>
    </row>
    <row r="49" spans="2:35" ht="9.75" customHeight="1" x14ac:dyDescent="0.25">
      <c r="B49" s="64" t="s">
        <v>89</v>
      </c>
      <c r="C49" s="64" t="s">
        <v>90</v>
      </c>
      <c r="D49" s="64" t="s">
        <v>58</v>
      </c>
      <c r="E49" s="51">
        <f>+F49-G49</f>
        <v>0</v>
      </c>
      <c r="F49" s="10">
        <f>+G49</f>
        <v>220800</v>
      </c>
      <c r="G49" s="10">
        <f>SUM(H49:S49)</f>
        <v>220800</v>
      </c>
      <c r="H49" s="10">
        <v>22800</v>
      </c>
      <c r="I49" s="10">
        <v>24500</v>
      </c>
      <c r="J49" s="10">
        <v>39000</v>
      </c>
      <c r="K49" s="10">
        <v>26500</v>
      </c>
      <c r="L49" s="10">
        <v>30600</v>
      </c>
      <c r="M49" s="10">
        <v>20000</v>
      </c>
      <c r="N49" s="10">
        <v>12600</v>
      </c>
      <c r="O49" s="10">
        <v>13900</v>
      </c>
      <c r="P49" s="10">
        <v>12600</v>
      </c>
      <c r="Q49" s="10">
        <v>7500</v>
      </c>
      <c r="R49" s="10">
        <v>6000</v>
      </c>
      <c r="S49" s="10">
        <v>4800</v>
      </c>
      <c r="T49" s="7">
        <f t="shared" ref="T49" si="26">SUM(H49:S49)</f>
        <v>220800</v>
      </c>
      <c r="U49" s="8">
        <f t="shared" si="1"/>
        <v>0</v>
      </c>
      <c r="V49" s="8"/>
      <c r="Z49" s="10"/>
      <c r="AA49" s="8"/>
      <c r="AG49" s="8">
        <v>86943.71</v>
      </c>
      <c r="AH49" s="61">
        <f>+AG49*1.05</f>
        <v>91290.895500000013</v>
      </c>
      <c r="AI49" s="8">
        <f>+G49</f>
        <v>220800</v>
      </c>
    </row>
    <row r="50" spans="2:35" ht="9.75" customHeight="1" x14ac:dyDescent="0.25">
      <c r="B50" s="62" t="s">
        <v>91</v>
      </c>
      <c r="C50" s="62" t="s">
        <v>92</v>
      </c>
      <c r="D50" s="62"/>
      <c r="E50" s="51">
        <f t="shared" ref="E50:E67" si="27">SUM(H50:S50)-G50</f>
        <v>0</v>
      </c>
      <c r="F50" s="10"/>
      <c r="G50" s="63">
        <f>+G51</f>
        <v>364500</v>
      </c>
      <c r="H50" s="63">
        <f t="shared" ref="H50:S50" si="28">+H51</f>
        <v>158000</v>
      </c>
      <c r="I50" s="63">
        <f t="shared" si="28"/>
        <v>58500</v>
      </c>
      <c r="J50" s="63">
        <f t="shared" si="28"/>
        <v>35700</v>
      </c>
      <c r="K50" s="63">
        <f t="shared" si="28"/>
        <v>27500</v>
      </c>
      <c r="L50" s="63">
        <f t="shared" si="28"/>
        <v>22000</v>
      </c>
      <c r="M50" s="63">
        <f t="shared" si="28"/>
        <v>14000</v>
      </c>
      <c r="N50" s="63">
        <f t="shared" si="28"/>
        <v>17600</v>
      </c>
      <c r="O50" s="63">
        <f t="shared" si="28"/>
        <v>23200</v>
      </c>
      <c r="P50" s="63">
        <f t="shared" si="28"/>
        <v>2000</v>
      </c>
      <c r="Q50" s="63">
        <f t="shared" si="28"/>
        <v>2000</v>
      </c>
      <c r="R50" s="63">
        <f t="shared" si="28"/>
        <v>2000</v>
      </c>
      <c r="S50" s="63">
        <f t="shared" si="28"/>
        <v>2000</v>
      </c>
      <c r="T50" s="7">
        <f t="shared" ref="T50:T128" si="29">SUM(H50:S50)</f>
        <v>364500</v>
      </c>
      <c r="U50" s="8">
        <f t="shared" si="1"/>
        <v>0</v>
      </c>
      <c r="V50" s="8"/>
      <c r="Z50" s="63"/>
      <c r="AA50" s="8"/>
      <c r="AG50" s="8">
        <v>276892.46000000002</v>
      </c>
      <c r="AI50" s="8"/>
    </row>
    <row r="51" spans="2:35" ht="9.75" customHeight="1" x14ac:dyDescent="0.25">
      <c r="B51" s="62" t="s">
        <v>89</v>
      </c>
      <c r="C51" s="64" t="s">
        <v>93</v>
      </c>
      <c r="D51" s="62"/>
      <c r="E51" s="51">
        <f t="shared" si="27"/>
        <v>0</v>
      </c>
      <c r="F51" s="10"/>
      <c r="G51" s="10">
        <f>SUM(H51:S51)</f>
        <v>364500</v>
      </c>
      <c r="H51" s="10">
        <v>158000</v>
      </c>
      <c r="I51" s="10">
        <v>58500</v>
      </c>
      <c r="J51" s="10">
        <v>35700</v>
      </c>
      <c r="K51" s="10">
        <v>27500</v>
      </c>
      <c r="L51" s="10">
        <v>22000</v>
      </c>
      <c r="M51" s="10">
        <v>14000</v>
      </c>
      <c r="N51" s="10">
        <v>17600</v>
      </c>
      <c r="O51" s="10">
        <v>23200</v>
      </c>
      <c r="P51" s="10">
        <v>2000</v>
      </c>
      <c r="Q51" s="10">
        <v>2000</v>
      </c>
      <c r="R51" s="10">
        <v>2000</v>
      </c>
      <c r="S51" s="10">
        <v>2000</v>
      </c>
      <c r="T51" s="7">
        <f t="shared" si="29"/>
        <v>364500</v>
      </c>
      <c r="U51" s="8">
        <f t="shared" si="1"/>
        <v>0</v>
      </c>
      <c r="V51" s="8"/>
      <c r="Z51" s="63"/>
      <c r="AA51" s="8"/>
      <c r="AG51" s="69">
        <v>1</v>
      </c>
      <c r="AH51" s="61">
        <f>+G50*AG51/AG50</f>
        <v>1.3163955421538021</v>
      </c>
      <c r="AI51" s="8"/>
    </row>
    <row r="52" spans="2:35" ht="9.75" customHeight="1" x14ac:dyDescent="0.25">
      <c r="B52" s="62" t="s">
        <v>94</v>
      </c>
      <c r="C52" s="62" t="s">
        <v>95</v>
      </c>
      <c r="D52" s="62"/>
      <c r="E52" s="51">
        <f t="shared" ref="E52:E53" si="30">SUM(H52:S52)-G52</f>
        <v>0</v>
      </c>
      <c r="F52" s="10"/>
      <c r="G52" s="63">
        <f>+G53</f>
        <v>39941.529999999992</v>
      </c>
      <c r="H52" s="63">
        <f t="shared" ref="H52:S52" si="31">+H53</f>
        <v>35997.549999999996</v>
      </c>
      <c r="I52" s="63">
        <f t="shared" si="31"/>
        <v>1971.33</v>
      </c>
      <c r="J52" s="63">
        <f t="shared" si="31"/>
        <v>961.69</v>
      </c>
      <c r="K52" s="63">
        <f t="shared" si="31"/>
        <v>0</v>
      </c>
      <c r="L52" s="63">
        <f t="shared" si="31"/>
        <v>437.85</v>
      </c>
      <c r="M52" s="63">
        <f t="shared" si="31"/>
        <v>0</v>
      </c>
      <c r="N52" s="63">
        <f t="shared" si="31"/>
        <v>0</v>
      </c>
      <c r="O52" s="63">
        <f t="shared" si="31"/>
        <v>0</v>
      </c>
      <c r="P52" s="63">
        <f t="shared" si="31"/>
        <v>0</v>
      </c>
      <c r="Q52" s="63">
        <f t="shared" si="31"/>
        <v>0</v>
      </c>
      <c r="R52" s="63">
        <f t="shared" si="31"/>
        <v>396.96999999999997</v>
      </c>
      <c r="S52" s="63">
        <f t="shared" si="31"/>
        <v>176.14</v>
      </c>
      <c r="T52" s="7">
        <f t="shared" ref="T52:T54" si="32">SUM(H52:S52)</f>
        <v>39941.53</v>
      </c>
      <c r="U52" s="8">
        <f t="shared" si="1"/>
        <v>0</v>
      </c>
      <c r="V52" s="8"/>
      <c r="Z52" s="63"/>
      <c r="AA52" s="8"/>
      <c r="AI52" s="8"/>
    </row>
    <row r="53" spans="2:35" ht="9.75" customHeight="1" x14ac:dyDescent="0.25">
      <c r="B53" s="62" t="s">
        <v>96</v>
      </c>
      <c r="C53" s="62" t="s">
        <v>97</v>
      </c>
      <c r="D53" s="62"/>
      <c r="E53" s="51">
        <f t="shared" si="30"/>
        <v>0</v>
      </c>
      <c r="F53" s="10"/>
      <c r="G53" s="63">
        <f>SUM(G54:G64)</f>
        <v>39941.529999999992</v>
      </c>
      <c r="H53" s="63">
        <f t="shared" ref="H53:S53" si="33">SUM(H54:H64)</f>
        <v>35997.549999999996</v>
      </c>
      <c r="I53" s="63">
        <f t="shared" si="33"/>
        <v>1971.33</v>
      </c>
      <c r="J53" s="63">
        <f t="shared" si="33"/>
        <v>961.69</v>
      </c>
      <c r="K53" s="63">
        <f t="shared" si="33"/>
        <v>0</v>
      </c>
      <c r="L53" s="63">
        <f t="shared" si="33"/>
        <v>437.85</v>
      </c>
      <c r="M53" s="63">
        <f t="shared" si="33"/>
        <v>0</v>
      </c>
      <c r="N53" s="63">
        <f t="shared" si="33"/>
        <v>0</v>
      </c>
      <c r="O53" s="63">
        <f t="shared" si="33"/>
        <v>0</v>
      </c>
      <c r="P53" s="63">
        <f t="shared" si="33"/>
        <v>0</v>
      </c>
      <c r="Q53" s="63">
        <f t="shared" si="33"/>
        <v>0</v>
      </c>
      <c r="R53" s="63">
        <f t="shared" si="33"/>
        <v>396.96999999999997</v>
      </c>
      <c r="S53" s="63">
        <f t="shared" si="33"/>
        <v>176.14</v>
      </c>
      <c r="T53" s="7">
        <f t="shared" si="32"/>
        <v>39941.53</v>
      </c>
      <c r="U53" s="8">
        <f t="shared" si="1"/>
        <v>0</v>
      </c>
      <c r="V53" s="8"/>
      <c r="Z53" s="63"/>
      <c r="AA53" s="8"/>
      <c r="AI53" s="8"/>
    </row>
    <row r="54" spans="2:35" ht="9.75" customHeight="1" x14ac:dyDescent="0.25">
      <c r="B54" s="64" t="s">
        <v>98</v>
      </c>
      <c r="C54" s="64" t="s">
        <v>99</v>
      </c>
      <c r="D54" s="64" t="s">
        <v>100</v>
      </c>
      <c r="E54" s="51">
        <f t="shared" ref="E54" si="34">+F54-G54</f>
        <v>0</v>
      </c>
      <c r="F54" s="10">
        <f t="shared" ref="F54" si="35">+G54</f>
        <v>23422.109999999997</v>
      </c>
      <c r="G54" s="10">
        <f t="shared" ref="G54:G64" si="36">SUM(H54:S54)</f>
        <v>23422.109999999997</v>
      </c>
      <c r="H54" s="10">
        <v>21477.23</v>
      </c>
      <c r="I54" s="10">
        <v>1632.05</v>
      </c>
      <c r="J54" s="10">
        <v>56.57</v>
      </c>
      <c r="K54" s="10">
        <v>0</v>
      </c>
      <c r="L54" s="10">
        <v>211.57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44.69</v>
      </c>
      <c r="S54" s="10">
        <v>0</v>
      </c>
      <c r="T54" s="7">
        <f t="shared" si="32"/>
        <v>23422.109999999997</v>
      </c>
      <c r="U54" s="8">
        <f t="shared" si="1"/>
        <v>0</v>
      </c>
      <c r="V54" s="8"/>
      <c r="Z54" s="10"/>
      <c r="AA54" s="8"/>
      <c r="AG54" s="8">
        <f>115872.94*1.1</f>
        <v>127460.23400000001</v>
      </c>
      <c r="AI54" s="8">
        <f t="shared" ref="AI54" si="37">+G54</f>
        <v>23422.109999999997</v>
      </c>
    </row>
    <row r="55" spans="2:35" ht="9.75" customHeight="1" x14ac:dyDescent="0.25">
      <c r="B55" s="64" t="s">
        <v>101</v>
      </c>
      <c r="C55" s="64" t="s">
        <v>102</v>
      </c>
      <c r="D55" s="64"/>
      <c r="F55" s="10"/>
      <c r="G55" s="10">
        <f t="shared" si="36"/>
        <v>1459.98</v>
      </c>
      <c r="H55" s="10">
        <v>542</v>
      </c>
      <c r="I55" s="10">
        <v>0</v>
      </c>
      <c r="J55" s="10">
        <v>565.70000000000005</v>
      </c>
      <c r="K55" s="10">
        <v>0</v>
      </c>
      <c r="L55" s="10">
        <v>0</v>
      </c>
      <c r="M55" s="10">
        <v>0</v>
      </c>
      <c r="N55" s="10"/>
      <c r="O55" s="10"/>
      <c r="P55" s="10">
        <v>0</v>
      </c>
      <c r="Q55" s="10">
        <v>0</v>
      </c>
      <c r="R55" s="10">
        <v>264.20999999999998</v>
      </c>
      <c r="S55" s="10">
        <v>88.07</v>
      </c>
      <c r="T55" s="7"/>
      <c r="U55" s="8"/>
      <c r="V55" s="8"/>
      <c r="Z55" s="10"/>
      <c r="AA55" s="8"/>
      <c r="AG55" s="8"/>
      <c r="AI55" s="8"/>
    </row>
    <row r="56" spans="2:35" ht="9.75" customHeight="1" x14ac:dyDescent="0.25">
      <c r="B56" s="64" t="s">
        <v>103</v>
      </c>
      <c r="C56" s="64" t="s">
        <v>104</v>
      </c>
      <c r="D56" s="64"/>
      <c r="F56" s="10"/>
      <c r="G56" s="10">
        <f t="shared" si="36"/>
        <v>2081.12</v>
      </c>
      <c r="H56" s="10">
        <v>1000</v>
      </c>
      <c r="I56" s="10">
        <v>339.28</v>
      </c>
      <c r="J56" s="10">
        <v>339.42</v>
      </c>
      <c r="K56" s="10">
        <v>0</v>
      </c>
      <c r="L56" s="10">
        <v>226.28</v>
      </c>
      <c r="M56" s="10">
        <v>0</v>
      </c>
      <c r="N56" s="10"/>
      <c r="O56" s="10"/>
      <c r="P56" s="10">
        <v>0</v>
      </c>
      <c r="Q56" s="10">
        <v>0</v>
      </c>
      <c r="R56" s="10">
        <v>88.07</v>
      </c>
      <c r="S56" s="10">
        <v>88.07</v>
      </c>
      <c r="T56" s="7"/>
      <c r="U56" s="8"/>
      <c r="V56" s="8"/>
      <c r="Z56" s="10"/>
      <c r="AA56" s="8"/>
      <c r="AG56" s="8"/>
      <c r="AI56" s="8"/>
    </row>
    <row r="57" spans="2:35" ht="9.75" customHeight="1" x14ac:dyDescent="0.25">
      <c r="B57" s="64" t="s">
        <v>105</v>
      </c>
      <c r="C57" s="64" t="s">
        <v>106</v>
      </c>
      <c r="D57" s="64"/>
      <c r="F57" s="10"/>
      <c r="G57" s="10">
        <f t="shared" si="36"/>
        <v>113.16</v>
      </c>
      <c r="H57" s="10">
        <v>113.16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7"/>
      <c r="U57" s="8"/>
      <c r="V57" s="8"/>
      <c r="Z57" s="10"/>
      <c r="AA57" s="8"/>
      <c r="AG57" s="8"/>
      <c r="AI57" s="8"/>
    </row>
    <row r="58" spans="2:35" ht="9.75" customHeight="1" x14ac:dyDescent="0.25">
      <c r="B58" s="64" t="s">
        <v>107</v>
      </c>
      <c r="C58" s="64" t="s">
        <v>108</v>
      </c>
      <c r="D58" s="64"/>
      <c r="F58" s="10"/>
      <c r="G58" s="10">
        <f t="shared" si="36"/>
        <v>69.02</v>
      </c>
      <c r="H58" s="10">
        <v>69.02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7"/>
      <c r="U58" s="8"/>
      <c r="V58" s="8"/>
      <c r="Z58" s="10"/>
      <c r="AA58" s="8"/>
      <c r="AG58" s="8"/>
      <c r="AI58" s="8"/>
    </row>
    <row r="59" spans="2:35" ht="9.75" customHeight="1" x14ac:dyDescent="0.25">
      <c r="B59" s="64" t="s">
        <v>109</v>
      </c>
      <c r="C59" s="64" t="s">
        <v>110</v>
      </c>
      <c r="D59" s="64"/>
      <c r="F59" s="10"/>
      <c r="G59" s="10">
        <f t="shared" si="36"/>
        <v>5463.53</v>
      </c>
      <c r="H59" s="10">
        <v>5463.53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7"/>
      <c r="U59" s="8"/>
      <c r="V59" s="8"/>
      <c r="Z59" s="10"/>
      <c r="AA59" s="8"/>
      <c r="AG59" s="8"/>
      <c r="AI59" s="8"/>
    </row>
    <row r="60" spans="2:35" ht="9.75" customHeight="1" x14ac:dyDescent="0.25">
      <c r="B60" s="64" t="s">
        <v>111</v>
      </c>
      <c r="C60" s="64" t="s">
        <v>112</v>
      </c>
      <c r="D60" s="64"/>
      <c r="F60" s="10"/>
      <c r="G60" s="10">
        <f t="shared" si="36"/>
        <v>139.16</v>
      </c>
      <c r="H60" s="10">
        <v>139.16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7"/>
      <c r="U60" s="8"/>
      <c r="V60" s="8"/>
      <c r="Z60" s="10"/>
      <c r="AA60" s="8"/>
      <c r="AG60" s="8"/>
      <c r="AI60" s="8"/>
    </row>
    <row r="61" spans="2:35" ht="9.75" customHeight="1" x14ac:dyDescent="0.25">
      <c r="B61" s="64" t="s">
        <v>113</v>
      </c>
      <c r="C61" s="64" t="s">
        <v>114</v>
      </c>
      <c r="D61" s="64"/>
      <c r="F61" s="10"/>
      <c r="G61" s="10">
        <f t="shared" si="36"/>
        <v>257.95999999999998</v>
      </c>
      <c r="H61" s="10">
        <v>257.95999999999998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7"/>
      <c r="U61" s="8"/>
      <c r="V61" s="8"/>
      <c r="Z61" s="10"/>
      <c r="AA61" s="8"/>
      <c r="AG61" s="8"/>
      <c r="AI61" s="8"/>
    </row>
    <row r="62" spans="2:35" ht="9.75" customHeight="1" x14ac:dyDescent="0.25">
      <c r="B62" s="64" t="s">
        <v>115</v>
      </c>
      <c r="C62" s="64" t="s">
        <v>116</v>
      </c>
      <c r="D62" s="64"/>
      <c r="F62" s="10"/>
      <c r="G62" s="10">
        <f t="shared" si="36"/>
        <v>346.21</v>
      </c>
      <c r="H62" s="10">
        <v>346.21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7"/>
      <c r="U62" s="8"/>
      <c r="V62" s="8"/>
      <c r="Z62" s="10"/>
      <c r="AA62" s="8"/>
      <c r="AG62" s="8"/>
      <c r="AI62" s="8"/>
    </row>
    <row r="63" spans="2:35" ht="9.75" customHeight="1" x14ac:dyDescent="0.25">
      <c r="B63" s="64" t="s">
        <v>117</v>
      </c>
      <c r="C63" s="64" t="s">
        <v>118</v>
      </c>
      <c r="D63" s="64"/>
      <c r="F63" s="10"/>
      <c r="G63" s="10">
        <f t="shared" si="36"/>
        <v>3294.64</v>
      </c>
      <c r="H63" s="10">
        <v>3294.64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7"/>
      <c r="U63" s="8"/>
      <c r="V63" s="8"/>
      <c r="Z63" s="10"/>
      <c r="AA63" s="8"/>
      <c r="AG63" s="8"/>
      <c r="AI63" s="8"/>
    </row>
    <row r="64" spans="2:35" ht="9.75" customHeight="1" x14ac:dyDescent="0.25">
      <c r="B64" s="64" t="s">
        <v>119</v>
      </c>
      <c r="C64" s="64" t="s">
        <v>120</v>
      </c>
      <c r="D64" s="64"/>
      <c r="F64" s="10"/>
      <c r="G64" s="10">
        <f t="shared" si="36"/>
        <v>3294.64</v>
      </c>
      <c r="H64" s="10">
        <v>3294.64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7"/>
      <c r="U64" s="8"/>
      <c r="V64" s="8"/>
      <c r="Z64" s="10"/>
      <c r="AA64" s="8"/>
      <c r="AG64" s="8"/>
      <c r="AI64" s="8"/>
    </row>
    <row r="65" spans="2:35" ht="9.75" customHeight="1" x14ac:dyDescent="0.25">
      <c r="B65" s="64"/>
      <c r="D65" s="64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7"/>
      <c r="U65" s="8"/>
      <c r="V65" s="8"/>
      <c r="Z65" s="10"/>
      <c r="AA65" s="8"/>
      <c r="AG65" s="8"/>
      <c r="AI65" s="8"/>
    </row>
    <row r="66" spans="2:35" ht="9.75" customHeight="1" x14ac:dyDescent="0.25">
      <c r="B66" s="62" t="s">
        <v>121</v>
      </c>
      <c r="C66" s="62" t="s">
        <v>122</v>
      </c>
      <c r="D66" s="62"/>
      <c r="E66" s="51">
        <f t="shared" si="27"/>
        <v>0</v>
      </c>
      <c r="F66" s="10"/>
      <c r="G66" s="63">
        <f t="shared" ref="G66:S66" si="38">+G67+G74</f>
        <v>132812.10999999999</v>
      </c>
      <c r="H66" s="63">
        <f t="shared" si="38"/>
        <v>46589.03</v>
      </c>
      <c r="I66" s="63">
        <f t="shared" si="38"/>
        <v>17248.73</v>
      </c>
      <c r="J66" s="63">
        <f t="shared" si="38"/>
        <v>11032.14</v>
      </c>
      <c r="K66" s="63">
        <f t="shared" si="38"/>
        <v>11246.6</v>
      </c>
      <c r="L66" s="63">
        <f t="shared" si="38"/>
        <v>10233.73</v>
      </c>
      <c r="M66" s="63">
        <f t="shared" si="38"/>
        <v>5908.68</v>
      </c>
      <c r="N66" s="63">
        <f t="shared" si="38"/>
        <v>7784</v>
      </c>
      <c r="O66" s="63">
        <f t="shared" si="38"/>
        <v>10589.59</v>
      </c>
      <c r="P66" s="63">
        <f t="shared" si="38"/>
        <v>7160</v>
      </c>
      <c r="Q66" s="63">
        <f t="shared" si="38"/>
        <v>2428.87</v>
      </c>
      <c r="R66" s="63">
        <f t="shared" si="38"/>
        <v>1864.87</v>
      </c>
      <c r="S66" s="63">
        <f t="shared" si="38"/>
        <v>725.87</v>
      </c>
      <c r="T66" s="7">
        <f t="shared" si="29"/>
        <v>132812.10999999999</v>
      </c>
      <c r="U66" s="8">
        <f t="shared" ref="U66:U144" si="39">+T66-G66</f>
        <v>0</v>
      </c>
      <c r="V66" s="8"/>
      <c r="Z66" s="63"/>
      <c r="AA66" s="8"/>
      <c r="AI66" s="8"/>
    </row>
    <row r="67" spans="2:35" ht="9.75" customHeight="1" x14ac:dyDescent="0.25">
      <c r="B67" s="62" t="s">
        <v>123</v>
      </c>
      <c r="C67" s="62" t="s">
        <v>124</v>
      </c>
      <c r="D67" s="62"/>
      <c r="E67" s="51">
        <f t="shared" si="27"/>
        <v>0</v>
      </c>
      <c r="F67" s="10"/>
      <c r="G67" s="63">
        <f t="shared" ref="G67:S67" si="40">SUM(G68:G73)</f>
        <v>132812.10999999999</v>
      </c>
      <c r="H67" s="63">
        <f t="shared" si="40"/>
        <v>46589.03</v>
      </c>
      <c r="I67" s="63">
        <f t="shared" si="40"/>
        <v>17248.73</v>
      </c>
      <c r="J67" s="63">
        <f t="shared" si="40"/>
        <v>11032.14</v>
      </c>
      <c r="K67" s="63">
        <f t="shared" si="40"/>
        <v>11246.6</v>
      </c>
      <c r="L67" s="63">
        <f t="shared" si="40"/>
        <v>10233.73</v>
      </c>
      <c r="M67" s="63">
        <f t="shared" si="40"/>
        <v>5908.68</v>
      </c>
      <c r="N67" s="63">
        <f t="shared" si="40"/>
        <v>7784</v>
      </c>
      <c r="O67" s="63">
        <f t="shared" si="40"/>
        <v>10589.59</v>
      </c>
      <c r="P67" s="63">
        <f t="shared" si="40"/>
        <v>7160</v>
      </c>
      <c r="Q67" s="63">
        <f t="shared" si="40"/>
        <v>2428.87</v>
      </c>
      <c r="R67" s="63">
        <f t="shared" si="40"/>
        <v>1864.87</v>
      </c>
      <c r="S67" s="63">
        <f t="shared" si="40"/>
        <v>725.87</v>
      </c>
      <c r="T67" s="7">
        <f t="shared" si="29"/>
        <v>132812.10999999999</v>
      </c>
      <c r="U67" s="8">
        <f t="shared" si="39"/>
        <v>0</v>
      </c>
      <c r="V67" s="8"/>
      <c r="Z67" s="63"/>
      <c r="AA67" s="8"/>
      <c r="AI67" s="8"/>
    </row>
    <row r="68" spans="2:35" ht="9.75" customHeight="1" x14ac:dyDescent="0.25">
      <c r="B68" s="64" t="s">
        <v>125</v>
      </c>
      <c r="C68" s="64" t="s">
        <v>126</v>
      </c>
      <c r="D68" s="64" t="s">
        <v>100</v>
      </c>
      <c r="E68" s="51">
        <f t="shared" ref="E68:E77" si="41">+F68-G68</f>
        <v>0</v>
      </c>
      <c r="F68" s="10">
        <f t="shared" si="11"/>
        <v>132170.5</v>
      </c>
      <c r="G68" s="10">
        <f t="shared" ref="G68:G73" si="42">SUM(H68:S68)</f>
        <v>132170.5</v>
      </c>
      <c r="H68" s="10">
        <v>46589.03</v>
      </c>
      <c r="I68" s="10">
        <v>17248.73</v>
      </c>
      <c r="J68" s="10">
        <v>11032.14</v>
      </c>
      <c r="K68" s="10">
        <v>11246.6</v>
      </c>
      <c r="L68" s="10">
        <v>10233.73</v>
      </c>
      <c r="M68" s="10">
        <v>5908.68</v>
      </c>
      <c r="N68" s="10">
        <v>7784</v>
      </c>
      <c r="O68" s="10">
        <v>10589.59</v>
      </c>
      <c r="P68" s="10">
        <v>7160</v>
      </c>
      <c r="Q68" s="10">
        <v>2215</v>
      </c>
      <c r="R68" s="10">
        <v>1651</v>
      </c>
      <c r="S68" s="10">
        <v>512</v>
      </c>
      <c r="T68" s="7">
        <f t="shared" si="29"/>
        <v>132170.5</v>
      </c>
      <c r="U68" s="8">
        <f t="shared" si="39"/>
        <v>0</v>
      </c>
      <c r="V68" s="8"/>
      <c r="Z68" s="10"/>
      <c r="AA68" s="8"/>
      <c r="AG68" s="8">
        <f>115872.94*1.1</f>
        <v>127460.23400000001</v>
      </c>
      <c r="AI68" s="8">
        <f t="shared" ref="AI68:AI73" si="43">+G68</f>
        <v>132170.5</v>
      </c>
    </row>
    <row r="69" spans="2:35" ht="9.75" customHeight="1" x14ac:dyDescent="0.25">
      <c r="B69" s="64" t="s">
        <v>127</v>
      </c>
      <c r="C69" s="64" t="s">
        <v>128</v>
      </c>
      <c r="D69" s="64" t="s">
        <v>129</v>
      </c>
      <c r="E69" s="51">
        <f t="shared" si="41"/>
        <v>0</v>
      </c>
      <c r="F69" s="10">
        <f t="shared" si="11"/>
        <v>0</v>
      </c>
      <c r="G69" s="10">
        <f t="shared" si="42"/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10">
        <v>0</v>
      </c>
      <c r="S69" s="10">
        <v>0</v>
      </c>
      <c r="T69" s="7">
        <f t="shared" si="29"/>
        <v>0</v>
      </c>
      <c r="U69" s="8">
        <f t="shared" si="39"/>
        <v>0</v>
      </c>
      <c r="V69" s="8"/>
      <c r="Z69" s="10"/>
      <c r="AA69" s="8">
        <f t="shared" si="9"/>
        <v>0</v>
      </c>
      <c r="AG69" s="8">
        <f>116593.72*1.03</f>
        <v>120091.5316</v>
      </c>
      <c r="AI69" s="8">
        <f t="shared" si="43"/>
        <v>0</v>
      </c>
    </row>
    <row r="70" spans="2:35" ht="9.75" customHeight="1" x14ac:dyDescent="0.25">
      <c r="B70" s="64" t="s">
        <v>130</v>
      </c>
      <c r="C70" s="64" t="s">
        <v>131</v>
      </c>
      <c r="D70" s="64" t="s">
        <v>132</v>
      </c>
      <c r="E70" s="51">
        <f t="shared" si="41"/>
        <v>0</v>
      </c>
      <c r="F70" s="10">
        <f t="shared" si="11"/>
        <v>0</v>
      </c>
      <c r="G70" s="10">
        <f t="shared" si="42"/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7">
        <f t="shared" si="29"/>
        <v>0</v>
      </c>
      <c r="U70" s="8">
        <f t="shared" si="39"/>
        <v>0</v>
      </c>
      <c r="V70" s="8"/>
      <c r="Z70" s="10"/>
      <c r="AA70" s="8">
        <f t="shared" si="9"/>
        <v>0</v>
      </c>
      <c r="AI70" s="8">
        <f t="shared" si="43"/>
        <v>0</v>
      </c>
    </row>
    <row r="71" spans="2:35" ht="9.75" customHeight="1" x14ac:dyDescent="0.25">
      <c r="B71" s="64" t="s">
        <v>133</v>
      </c>
      <c r="C71" s="64" t="s">
        <v>134</v>
      </c>
      <c r="D71" s="64" t="s">
        <v>30</v>
      </c>
      <c r="E71" s="51">
        <f>+F71-G71</f>
        <v>0</v>
      </c>
      <c r="F71" s="10">
        <f t="shared" si="11"/>
        <v>367.11</v>
      </c>
      <c r="G71" s="10">
        <f t="shared" si="42"/>
        <v>367.11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122.37</v>
      </c>
      <c r="R71" s="10">
        <v>122.37</v>
      </c>
      <c r="S71" s="10">
        <v>122.37</v>
      </c>
      <c r="T71" s="7">
        <f t="shared" si="29"/>
        <v>367.11</v>
      </c>
      <c r="U71" s="8">
        <f t="shared" si="39"/>
        <v>0</v>
      </c>
      <c r="V71" s="8"/>
      <c r="Z71" s="10"/>
      <c r="AA71" s="8"/>
      <c r="AI71" s="8">
        <f t="shared" si="43"/>
        <v>367.11</v>
      </c>
    </row>
    <row r="72" spans="2:35" ht="9.75" customHeight="1" x14ac:dyDescent="0.25">
      <c r="B72" s="64" t="s">
        <v>135</v>
      </c>
      <c r="C72" s="64" t="s">
        <v>136</v>
      </c>
      <c r="D72" s="64" t="s">
        <v>132</v>
      </c>
      <c r="E72" s="51">
        <f t="shared" si="41"/>
        <v>0</v>
      </c>
      <c r="F72" s="10">
        <f t="shared" si="11"/>
        <v>0</v>
      </c>
      <c r="G72" s="10">
        <f t="shared" si="42"/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7">
        <f t="shared" si="29"/>
        <v>0</v>
      </c>
      <c r="U72" s="8">
        <f t="shared" si="39"/>
        <v>0</v>
      </c>
      <c r="V72" s="8"/>
      <c r="Z72" s="10"/>
      <c r="AA72" s="8">
        <f t="shared" si="9"/>
        <v>0</v>
      </c>
      <c r="AI72" s="8">
        <f t="shared" si="43"/>
        <v>0</v>
      </c>
    </row>
    <row r="73" spans="2:35" ht="9.75" customHeight="1" x14ac:dyDescent="0.25">
      <c r="B73" s="64" t="s">
        <v>137</v>
      </c>
      <c r="C73" s="64" t="s">
        <v>138</v>
      </c>
      <c r="D73" s="64" t="s">
        <v>100</v>
      </c>
      <c r="E73" s="51">
        <f t="shared" si="41"/>
        <v>0</v>
      </c>
      <c r="F73" s="10">
        <f t="shared" si="11"/>
        <v>274.5</v>
      </c>
      <c r="G73" s="10">
        <f t="shared" si="42"/>
        <v>274.5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91.5</v>
      </c>
      <c r="R73" s="10">
        <v>91.5</v>
      </c>
      <c r="S73" s="10">
        <v>91.5</v>
      </c>
      <c r="T73" s="7">
        <f t="shared" si="29"/>
        <v>274.5</v>
      </c>
      <c r="U73" s="8">
        <f t="shared" si="39"/>
        <v>0</v>
      </c>
      <c r="V73" s="8"/>
      <c r="Z73" s="10"/>
      <c r="AA73" s="8"/>
      <c r="AI73" s="8">
        <f t="shared" si="43"/>
        <v>274.5</v>
      </c>
    </row>
    <row r="74" spans="2:35" ht="9.75" customHeight="1" x14ac:dyDescent="0.25">
      <c r="B74" s="62" t="s">
        <v>139</v>
      </c>
      <c r="C74" s="62" t="s">
        <v>92</v>
      </c>
      <c r="D74" s="62"/>
      <c r="E74" s="51">
        <f t="shared" ref="E74:E79" si="44">SUM(H74:S74)-G74</f>
        <v>0</v>
      </c>
      <c r="F74" s="63">
        <v>0</v>
      </c>
      <c r="G74" s="63">
        <f>+G75</f>
        <v>0</v>
      </c>
      <c r="H74" s="63">
        <f t="shared" ref="H74:S74" si="45">+H75</f>
        <v>0</v>
      </c>
      <c r="I74" s="63">
        <f t="shared" si="45"/>
        <v>0</v>
      </c>
      <c r="J74" s="63">
        <f t="shared" si="45"/>
        <v>0</v>
      </c>
      <c r="K74" s="63">
        <f t="shared" si="45"/>
        <v>0</v>
      </c>
      <c r="L74" s="63">
        <f t="shared" si="45"/>
        <v>0</v>
      </c>
      <c r="M74" s="63">
        <f t="shared" si="45"/>
        <v>0</v>
      </c>
      <c r="N74" s="63">
        <f t="shared" si="45"/>
        <v>0</v>
      </c>
      <c r="O74" s="63">
        <f t="shared" si="45"/>
        <v>0</v>
      </c>
      <c r="P74" s="63">
        <f t="shared" si="45"/>
        <v>0</v>
      </c>
      <c r="Q74" s="63">
        <f t="shared" si="45"/>
        <v>0</v>
      </c>
      <c r="R74" s="63">
        <f t="shared" si="45"/>
        <v>0</v>
      </c>
      <c r="S74" s="63">
        <f t="shared" si="45"/>
        <v>0</v>
      </c>
      <c r="T74" s="7">
        <f t="shared" si="29"/>
        <v>0</v>
      </c>
      <c r="U74" s="8">
        <f t="shared" si="39"/>
        <v>0</v>
      </c>
      <c r="V74" s="8"/>
      <c r="Z74" s="10"/>
      <c r="AA74" s="8"/>
      <c r="AI74" s="8"/>
    </row>
    <row r="75" spans="2:35" ht="9.75" customHeight="1" x14ac:dyDescent="0.25">
      <c r="B75" s="62" t="s">
        <v>140</v>
      </c>
      <c r="C75" s="62" t="s">
        <v>141</v>
      </c>
      <c r="D75" s="62"/>
      <c r="E75" s="51">
        <f t="shared" si="44"/>
        <v>0</v>
      </c>
      <c r="F75" s="63">
        <v>0</v>
      </c>
      <c r="G75" s="63">
        <f t="shared" ref="G75:S76" si="46">+G76</f>
        <v>0</v>
      </c>
      <c r="H75" s="63">
        <f t="shared" si="46"/>
        <v>0</v>
      </c>
      <c r="I75" s="63">
        <f t="shared" si="46"/>
        <v>0</v>
      </c>
      <c r="J75" s="63">
        <f t="shared" si="46"/>
        <v>0</v>
      </c>
      <c r="K75" s="63">
        <f t="shared" si="46"/>
        <v>0</v>
      </c>
      <c r="L75" s="63">
        <f t="shared" si="46"/>
        <v>0</v>
      </c>
      <c r="M75" s="63">
        <f t="shared" si="46"/>
        <v>0</v>
      </c>
      <c r="N75" s="63">
        <f t="shared" si="46"/>
        <v>0</v>
      </c>
      <c r="O75" s="63">
        <f t="shared" si="46"/>
        <v>0</v>
      </c>
      <c r="P75" s="63">
        <f t="shared" si="46"/>
        <v>0</v>
      </c>
      <c r="Q75" s="63">
        <f t="shared" si="46"/>
        <v>0</v>
      </c>
      <c r="R75" s="63">
        <f t="shared" si="46"/>
        <v>0</v>
      </c>
      <c r="S75" s="63">
        <f t="shared" si="46"/>
        <v>0</v>
      </c>
      <c r="T75" s="7">
        <f t="shared" si="29"/>
        <v>0</v>
      </c>
      <c r="U75" s="8">
        <f t="shared" si="39"/>
        <v>0</v>
      </c>
      <c r="V75" s="8"/>
      <c r="Z75" s="10"/>
      <c r="AA75" s="8"/>
      <c r="AI75" s="8"/>
    </row>
    <row r="76" spans="2:35" ht="9.75" customHeight="1" x14ac:dyDescent="0.25">
      <c r="B76" s="62" t="s">
        <v>142</v>
      </c>
      <c r="C76" s="62" t="s">
        <v>143</v>
      </c>
      <c r="D76" s="62"/>
      <c r="E76" s="51">
        <f t="shared" si="44"/>
        <v>0</v>
      </c>
      <c r="F76" s="63">
        <v>0</v>
      </c>
      <c r="G76" s="63">
        <f t="shared" si="46"/>
        <v>0</v>
      </c>
      <c r="H76" s="63">
        <f t="shared" si="46"/>
        <v>0</v>
      </c>
      <c r="I76" s="63">
        <f t="shared" si="46"/>
        <v>0</v>
      </c>
      <c r="J76" s="63">
        <f t="shared" si="46"/>
        <v>0</v>
      </c>
      <c r="K76" s="63">
        <f t="shared" si="46"/>
        <v>0</v>
      </c>
      <c r="L76" s="63">
        <f t="shared" si="46"/>
        <v>0</v>
      </c>
      <c r="M76" s="63">
        <f t="shared" si="46"/>
        <v>0</v>
      </c>
      <c r="N76" s="63">
        <f t="shared" si="46"/>
        <v>0</v>
      </c>
      <c r="O76" s="63">
        <f t="shared" si="46"/>
        <v>0</v>
      </c>
      <c r="P76" s="63">
        <f t="shared" si="46"/>
        <v>0</v>
      </c>
      <c r="Q76" s="63">
        <f t="shared" si="46"/>
        <v>0</v>
      </c>
      <c r="R76" s="63">
        <f t="shared" si="46"/>
        <v>0</v>
      </c>
      <c r="S76" s="63">
        <f t="shared" si="46"/>
        <v>0</v>
      </c>
      <c r="T76" s="7">
        <f t="shared" si="29"/>
        <v>0</v>
      </c>
      <c r="U76" s="8">
        <f t="shared" si="39"/>
        <v>0</v>
      </c>
      <c r="V76" s="8"/>
      <c r="Z76" s="10"/>
      <c r="AA76" s="8"/>
      <c r="AI76" s="8"/>
    </row>
    <row r="77" spans="2:35" ht="9.75" customHeight="1" x14ac:dyDescent="0.25">
      <c r="B77" s="64" t="s">
        <v>144</v>
      </c>
      <c r="C77" s="64" t="s">
        <v>145</v>
      </c>
      <c r="D77" s="64" t="s">
        <v>58</v>
      </c>
      <c r="E77" s="51">
        <f t="shared" si="41"/>
        <v>0</v>
      </c>
      <c r="F77" s="10">
        <f>+G77</f>
        <v>0</v>
      </c>
      <c r="G77" s="10">
        <f t="shared" ref="G77" si="47">SUM(H77:S77)</f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7">
        <f t="shared" si="29"/>
        <v>0</v>
      </c>
      <c r="U77" s="8">
        <f t="shared" si="39"/>
        <v>0</v>
      </c>
      <c r="V77" s="8"/>
      <c r="Z77" s="10"/>
      <c r="AA77" s="8"/>
      <c r="AI77" s="8"/>
    </row>
    <row r="78" spans="2:35" ht="18" customHeight="1" x14ac:dyDescent="0.25">
      <c r="B78" s="62" t="s">
        <v>146</v>
      </c>
      <c r="C78" s="62" t="s">
        <v>147</v>
      </c>
      <c r="D78" s="62"/>
      <c r="E78" s="51">
        <f t="shared" si="44"/>
        <v>0</v>
      </c>
      <c r="F78" s="63">
        <v>0</v>
      </c>
      <c r="G78" s="63">
        <f t="shared" ref="G78:S78" si="48">+G79+G84+G87</f>
        <v>81447.64</v>
      </c>
      <c r="H78" s="63">
        <f t="shared" si="48"/>
        <v>39090.69</v>
      </c>
      <c r="I78" s="63">
        <f t="shared" si="48"/>
        <v>9958.74</v>
      </c>
      <c r="J78" s="63">
        <f t="shared" si="48"/>
        <v>6145.91</v>
      </c>
      <c r="K78" s="63">
        <f t="shared" si="48"/>
        <v>4847.24</v>
      </c>
      <c r="L78" s="63">
        <f t="shared" si="48"/>
        <v>5910.94</v>
      </c>
      <c r="M78" s="63">
        <f t="shared" si="48"/>
        <v>2627.6299999999997</v>
      </c>
      <c r="N78" s="63">
        <f t="shared" si="48"/>
        <v>3154.54</v>
      </c>
      <c r="O78" s="63">
        <f t="shared" si="48"/>
        <v>4725.8</v>
      </c>
      <c r="P78" s="63">
        <f t="shared" si="48"/>
        <v>4986.1499999999996</v>
      </c>
      <c r="Q78" s="63">
        <f t="shared" si="48"/>
        <v>0</v>
      </c>
      <c r="R78" s="63">
        <f t="shared" si="48"/>
        <v>0</v>
      </c>
      <c r="S78" s="63">
        <f t="shared" si="48"/>
        <v>0</v>
      </c>
      <c r="T78" s="7">
        <f t="shared" si="29"/>
        <v>81447.639999999985</v>
      </c>
      <c r="U78" s="8">
        <f t="shared" si="39"/>
        <v>0</v>
      </c>
      <c r="V78" s="8"/>
      <c r="Z78" s="63"/>
      <c r="AA78" s="8"/>
      <c r="AI78" s="8"/>
    </row>
    <row r="79" spans="2:35" ht="9.75" customHeight="1" x14ac:dyDescent="0.25">
      <c r="B79" s="62" t="s">
        <v>148</v>
      </c>
      <c r="C79" s="62" t="s">
        <v>149</v>
      </c>
      <c r="D79" s="62"/>
      <c r="E79" s="51">
        <f t="shared" si="44"/>
        <v>0</v>
      </c>
      <c r="F79" s="63">
        <v>0</v>
      </c>
      <c r="G79" s="63">
        <f t="shared" ref="G79:S79" si="49">SUM(G80:G83)</f>
        <v>59813.52</v>
      </c>
      <c r="H79" s="63">
        <f t="shared" si="49"/>
        <v>25465.18</v>
      </c>
      <c r="I79" s="63">
        <f t="shared" si="49"/>
        <v>9487.4599999999991</v>
      </c>
      <c r="J79" s="63">
        <f t="shared" si="49"/>
        <v>4676.72</v>
      </c>
      <c r="K79" s="63">
        <f t="shared" si="49"/>
        <v>4184.08</v>
      </c>
      <c r="L79" s="63">
        <f t="shared" si="49"/>
        <v>3967.1</v>
      </c>
      <c r="M79" s="63">
        <f t="shared" si="49"/>
        <v>2086.1999999999998</v>
      </c>
      <c r="N79" s="63">
        <f t="shared" si="49"/>
        <v>2863.02</v>
      </c>
      <c r="O79" s="63">
        <f t="shared" si="49"/>
        <v>4028.12</v>
      </c>
      <c r="P79" s="63">
        <f t="shared" si="49"/>
        <v>3055.64</v>
      </c>
      <c r="Q79" s="63">
        <f t="shared" si="49"/>
        <v>0</v>
      </c>
      <c r="R79" s="63">
        <f t="shared" si="49"/>
        <v>0</v>
      </c>
      <c r="S79" s="63">
        <f t="shared" si="49"/>
        <v>0</v>
      </c>
      <c r="T79" s="7">
        <f t="shared" si="29"/>
        <v>59813.52</v>
      </c>
      <c r="U79" s="8">
        <f t="shared" si="39"/>
        <v>0</v>
      </c>
      <c r="V79" s="8"/>
      <c r="Z79" s="63"/>
      <c r="AA79" s="8"/>
      <c r="AG79" s="8">
        <v>276892.46000000002</v>
      </c>
      <c r="AI79" s="8"/>
    </row>
    <row r="80" spans="2:35" ht="9.75" customHeight="1" x14ac:dyDescent="0.25">
      <c r="B80" s="64" t="s">
        <v>150</v>
      </c>
      <c r="C80" s="64" t="s">
        <v>151</v>
      </c>
      <c r="D80" s="64" t="s">
        <v>58</v>
      </c>
      <c r="E80" s="10">
        <v>0</v>
      </c>
      <c r="F80" s="10">
        <f>+G80</f>
        <v>0</v>
      </c>
      <c r="G80" s="10">
        <f t="shared" ref="G80:G89" si="50">SUM(H80:S80)</f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63">
        <f t="shared" ref="Q80:S80" si="51">+Q81</f>
        <v>0</v>
      </c>
      <c r="R80" s="63">
        <f t="shared" si="51"/>
        <v>0</v>
      </c>
      <c r="S80" s="63">
        <f t="shared" si="51"/>
        <v>0</v>
      </c>
      <c r="T80" s="7">
        <f t="shared" si="29"/>
        <v>0</v>
      </c>
      <c r="U80" s="8">
        <f t="shared" si="39"/>
        <v>0</v>
      </c>
      <c r="V80" s="8"/>
      <c r="Z80" s="63">
        <f t="shared" ref="Z80" si="52">+Z81</f>
        <v>317349.51</v>
      </c>
      <c r="AA80" s="8">
        <f t="shared" ref="AA80:AA81" si="53">+Z80-G80</f>
        <v>317349.51</v>
      </c>
      <c r="AI80" s="8"/>
    </row>
    <row r="81" spans="2:35" ht="9.75" customHeight="1" x14ac:dyDescent="0.25">
      <c r="B81" s="64" t="s">
        <v>152</v>
      </c>
      <c r="C81" s="64" t="s">
        <v>153</v>
      </c>
      <c r="D81" s="64" t="s">
        <v>58</v>
      </c>
      <c r="E81" s="10">
        <v>0</v>
      </c>
      <c r="F81" s="10">
        <f t="shared" ref="F81:F89" si="54">+G81</f>
        <v>0</v>
      </c>
      <c r="G81" s="10">
        <f t="shared" si="50"/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10">
        <v>0</v>
      </c>
      <c r="S81" s="10">
        <v>0</v>
      </c>
      <c r="T81" s="7">
        <f t="shared" si="29"/>
        <v>0</v>
      </c>
      <c r="U81" s="8">
        <f t="shared" si="39"/>
        <v>0</v>
      </c>
      <c r="V81" s="8"/>
      <c r="Z81" s="10">
        <v>317349.51</v>
      </c>
      <c r="AA81" s="8">
        <f t="shared" si="53"/>
        <v>317349.51</v>
      </c>
      <c r="AG81" s="8">
        <v>104398.39999999999</v>
      </c>
      <c r="AI81" s="8">
        <f>+G81</f>
        <v>0</v>
      </c>
    </row>
    <row r="82" spans="2:35" ht="9.75" customHeight="1" x14ac:dyDescent="0.25">
      <c r="B82" s="64" t="s">
        <v>154</v>
      </c>
      <c r="C82" s="64" t="s">
        <v>155</v>
      </c>
      <c r="D82" s="64" t="s">
        <v>58</v>
      </c>
      <c r="E82" s="51">
        <f t="shared" ref="E82:E83" si="55">+F82-G82</f>
        <v>0</v>
      </c>
      <c r="F82" s="10">
        <f t="shared" si="54"/>
        <v>29906.76</v>
      </c>
      <c r="G82" s="10">
        <f t="shared" si="50"/>
        <v>29906.76</v>
      </c>
      <c r="H82" s="10">
        <v>12732.59</v>
      </c>
      <c r="I82" s="10">
        <v>4743.7299999999996</v>
      </c>
      <c r="J82" s="10">
        <v>2338.36</v>
      </c>
      <c r="K82" s="10">
        <v>2092.04</v>
      </c>
      <c r="L82" s="10">
        <v>1983.55</v>
      </c>
      <c r="M82" s="10">
        <v>1043.0999999999999</v>
      </c>
      <c r="N82" s="10">
        <v>1431.51</v>
      </c>
      <c r="O82" s="10">
        <v>2014.06</v>
      </c>
      <c r="P82" s="10">
        <v>1527.82</v>
      </c>
      <c r="Q82" s="10">
        <v>0</v>
      </c>
      <c r="R82" s="10">
        <v>0</v>
      </c>
      <c r="S82" s="10">
        <v>0</v>
      </c>
      <c r="T82" s="7">
        <f t="shared" si="29"/>
        <v>29906.76</v>
      </c>
      <c r="U82" s="8">
        <f t="shared" si="39"/>
        <v>0</v>
      </c>
      <c r="V82" s="8"/>
      <c r="Z82" s="63"/>
      <c r="AA82" s="8"/>
      <c r="AI82" s="8"/>
    </row>
    <row r="83" spans="2:35" ht="12" customHeight="1" x14ac:dyDescent="0.25">
      <c r="B83" s="64" t="s">
        <v>156</v>
      </c>
      <c r="C83" s="64" t="s">
        <v>157</v>
      </c>
      <c r="D83" s="64" t="s">
        <v>58</v>
      </c>
      <c r="E83" s="51">
        <f t="shared" si="55"/>
        <v>0</v>
      </c>
      <c r="F83" s="10">
        <f t="shared" si="54"/>
        <v>29906.76</v>
      </c>
      <c r="G83" s="10">
        <f t="shared" si="50"/>
        <v>29906.76</v>
      </c>
      <c r="H83" s="10">
        <v>12732.59</v>
      </c>
      <c r="I83" s="10">
        <v>4743.7299999999996</v>
      </c>
      <c r="J83" s="10">
        <v>2338.36</v>
      </c>
      <c r="K83" s="10">
        <v>2092.04</v>
      </c>
      <c r="L83" s="10">
        <v>1983.55</v>
      </c>
      <c r="M83" s="10">
        <v>1043.0999999999999</v>
      </c>
      <c r="N83" s="10">
        <v>1431.51</v>
      </c>
      <c r="O83" s="10">
        <v>2014.06</v>
      </c>
      <c r="P83" s="10">
        <v>1527.82</v>
      </c>
      <c r="Q83" s="10">
        <v>0</v>
      </c>
      <c r="R83" s="10">
        <v>0</v>
      </c>
      <c r="S83" s="10">
        <v>0</v>
      </c>
      <c r="T83" s="7">
        <f t="shared" si="29"/>
        <v>29906.76</v>
      </c>
      <c r="U83" s="8">
        <f t="shared" si="39"/>
        <v>0</v>
      </c>
      <c r="V83" s="8"/>
      <c r="Z83" s="10"/>
      <c r="AA83" s="8"/>
      <c r="AG83" s="8">
        <v>243858.36</v>
      </c>
      <c r="AI83" s="8">
        <f>+G83</f>
        <v>29906.76</v>
      </c>
    </row>
    <row r="84" spans="2:35" ht="12" customHeight="1" x14ac:dyDescent="0.25">
      <c r="B84" s="62" t="s">
        <v>158</v>
      </c>
      <c r="C84" s="62" t="s">
        <v>159</v>
      </c>
      <c r="D84" s="62"/>
      <c r="E84" s="51">
        <f t="shared" ref="E84" si="56">SUM(H84:S84)-G84</f>
        <v>0</v>
      </c>
      <c r="F84" s="63">
        <v>0</v>
      </c>
      <c r="G84" s="63">
        <f t="shared" ref="G84:P84" si="57">SUM(G85:G86)</f>
        <v>0</v>
      </c>
      <c r="H84" s="63">
        <f t="shared" si="57"/>
        <v>0</v>
      </c>
      <c r="I84" s="63">
        <f t="shared" si="57"/>
        <v>0</v>
      </c>
      <c r="J84" s="63">
        <f t="shared" si="57"/>
        <v>0</v>
      </c>
      <c r="K84" s="63">
        <f t="shared" si="57"/>
        <v>0</v>
      </c>
      <c r="L84" s="63">
        <f t="shared" si="57"/>
        <v>0</v>
      </c>
      <c r="M84" s="63">
        <f t="shared" si="57"/>
        <v>0</v>
      </c>
      <c r="N84" s="63">
        <f t="shared" si="57"/>
        <v>0</v>
      </c>
      <c r="O84" s="63">
        <f t="shared" si="57"/>
        <v>0</v>
      </c>
      <c r="P84" s="63">
        <f t="shared" si="57"/>
        <v>0</v>
      </c>
      <c r="Q84" s="10">
        <v>0</v>
      </c>
      <c r="R84" s="10">
        <v>0</v>
      </c>
      <c r="S84" s="10">
        <v>0</v>
      </c>
      <c r="T84" s="7">
        <f t="shared" si="29"/>
        <v>0</v>
      </c>
      <c r="U84" s="8">
        <f t="shared" si="39"/>
        <v>0</v>
      </c>
      <c r="V84" s="8"/>
      <c r="Z84" s="10"/>
      <c r="AA84" s="8"/>
      <c r="AG84" s="8"/>
      <c r="AI84" s="8"/>
    </row>
    <row r="85" spans="2:35" ht="12" customHeight="1" x14ac:dyDescent="0.25">
      <c r="B85" s="64" t="s">
        <v>160</v>
      </c>
      <c r="C85" s="64" t="s">
        <v>151</v>
      </c>
      <c r="D85" s="64" t="s">
        <v>161</v>
      </c>
      <c r="E85" s="10">
        <v>0</v>
      </c>
      <c r="F85" s="10">
        <f t="shared" si="54"/>
        <v>0</v>
      </c>
      <c r="G85" s="10">
        <f t="shared" si="50"/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/>
      <c r="R85" s="10"/>
      <c r="S85" s="10"/>
      <c r="T85" s="7">
        <f t="shared" si="29"/>
        <v>0</v>
      </c>
      <c r="U85" s="8">
        <f t="shared" si="39"/>
        <v>0</v>
      </c>
      <c r="V85" s="8"/>
      <c r="Z85" s="10"/>
      <c r="AA85" s="8"/>
      <c r="AG85" s="8"/>
      <c r="AI85" s="8"/>
    </row>
    <row r="86" spans="2:35" ht="12" customHeight="1" x14ac:dyDescent="0.25">
      <c r="B86" s="64" t="s">
        <v>162</v>
      </c>
      <c r="C86" s="64" t="s">
        <v>163</v>
      </c>
      <c r="D86" s="64" t="s">
        <v>161</v>
      </c>
      <c r="E86" s="10">
        <v>0</v>
      </c>
      <c r="F86" s="10">
        <f t="shared" si="54"/>
        <v>0</v>
      </c>
      <c r="G86" s="10">
        <f t="shared" si="50"/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/>
      <c r="R86" s="10"/>
      <c r="S86" s="10"/>
      <c r="T86" s="7">
        <f t="shared" si="29"/>
        <v>0</v>
      </c>
      <c r="U86" s="8">
        <f t="shared" si="39"/>
        <v>0</v>
      </c>
      <c r="V86" s="8"/>
      <c r="Z86" s="10"/>
      <c r="AA86" s="8"/>
      <c r="AG86" s="8"/>
      <c r="AI86" s="8"/>
    </row>
    <row r="87" spans="2:35" ht="12" customHeight="1" x14ac:dyDescent="0.25">
      <c r="B87" s="62" t="s">
        <v>164</v>
      </c>
      <c r="C87" s="62" t="s">
        <v>165</v>
      </c>
      <c r="D87" s="62"/>
      <c r="E87" s="51">
        <f t="shared" ref="E87" si="58">SUM(H87:S87)-G87</f>
        <v>0</v>
      </c>
      <c r="F87" s="63">
        <v>0</v>
      </c>
      <c r="G87" s="63">
        <f t="shared" ref="G87:S87" si="59">SUM(G88:G89)</f>
        <v>21634.12</v>
      </c>
      <c r="H87" s="63">
        <f t="shared" si="59"/>
        <v>13625.51</v>
      </c>
      <c r="I87" s="63">
        <f t="shared" si="59"/>
        <v>471.28</v>
      </c>
      <c r="J87" s="63">
        <f t="shared" si="59"/>
        <v>1469.19</v>
      </c>
      <c r="K87" s="63">
        <f t="shared" si="59"/>
        <v>663.16</v>
      </c>
      <c r="L87" s="63">
        <f t="shared" si="59"/>
        <v>1943.84</v>
      </c>
      <c r="M87" s="63">
        <f t="shared" si="59"/>
        <v>541.42999999999995</v>
      </c>
      <c r="N87" s="63">
        <f t="shared" si="59"/>
        <v>291.52</v>
      </c>
      <c r="O87" s="63">
        <f t="shared" si="59"/>
        <v>697.68</v>
      </c>
      <c r="P87" s="63">
        <f t="shared" si="59"/>
        <v>1930.51</v>
      </c>
      <c r="Q87" s="63">
        <f t="shared" si="59"/>
        <v>0</v>
      </c>
      <c r="R87" s="63">
        <f t="shared" si="59"/>
        <v>0</v>
      </c>
      <c r="S87" s="63">
        <f t="shared" si="59"/>
        <v>0</v>
      </c>
      <c r="T87" s="7">
        <f t="shared" si="29"/>
        <v>21634.12</v>
      </c>
      <c r="U87" s="8">
        <f t="shared" si="39"/>
        <v>0</v>
      </c>
      <c r="V87" s="8"/>
      <c r="Z87" s="10"/>
      <c r="AA87" s="8"/>
      <c r="AG87" s="8"/>
      <c r="AI87" s="8"/>
    </row>
    <row r="88" spans="2:35" ht="12" customHeight="1" x14ac:dyDescent="0.25">
      <c r="B88" s="64" t="s">
        <v>166</v>
      </c>
      <c r="C88" s="64" t="s">
        <v>167</v>
      </c>
      <c r="D88" s="64" t="s">
        <v>129</v>
      </c>
      <c r="E88" s="51">
        <f t="shared" ref="E88:E93" si="60">+F88-G88</f>
        <v>0</v>
      </c>
      <c r="F88" s="10">
        <f t="shared" si="54"/>
        <v>21634.12</v>
      </c>
      <c r="G88" s="10">
        <f t="shared" si="50"/>
        <v>21634.12</v>
      </c>
      <c r="H88" s="10">
        <v>13625.51</v>
      </c>
      <c r="I88" s="10">
        <v>471.28</v>
      </c>
      <c r="J88" s="10">
        <v>1469.19</v>
      </c>
      <c r="K88" s="10">
        <v>663.16</v>
      </c>
      <c r="L88" s="10">
        <v>1943.84</v>
      </c>
      <c r="M88" s="10">
        <v>541.42999999999995</v>
      </c>
      <c r="N88" s="10">
        <v>291.52</v>
      </c>
      <c r="O88" s="10">
        <v>697.68</v>
      </c>
      <c r="P88" s="10">
        <v>1930.51</v>
      </c>
      <c r="Q88" s="10">
        <v>0</v>
      </c>
      <c r="R88" s="10">
        <v>0</v>
      </c>
      <c r="S88" s="10">
        <v>0</v>
      </c>
      <c r="T88" s="7">
        <f t="shared" si="29"/>
        <v>21634.12</v>
      </c>
      <c r="U88" s="8">
        <f t="shared" si="39"/>
        <v>0</v>
      </c>
      <c r="V88" s="8"/>
      <c r="Z88" s="10"/>
      <c r="AA88" s="8"/>
      <c r="AG88" s="8"/>
      <c r="AI88" s="8"/>
    </row>
    <row r="89" spans="2:35" ht="12" customHeight="1" x14ac:dyDescent="0.25">
      <c r="B89" s="64" t="s">
        <v>168</v>
      </c>
      <c r="C89" s="64" t="s">
        <v>169</v>
      </c>
      <c r="D89" s="64" t="s">
        <v>129</v>
      </c>
      <c r="E89" s="51">
        <f t="shared" si="60"/>
        <v>0</v>
      </c>
      <c r="F89" s="10">
        <f t="shared" si="54"/>
        <v>0</v>
      </c>
      <c r="G89" s="10">
        <f t="shared" si="50"/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/>
      <c r="R89" s="10"/>
      <c r="S89" s="10"/>
      <c r="T89" s="7">
        <f t="shared" si="29"/>
        <v>0</v>
      </c>
      <c r="U89" s="8">
        <f t="shared" si="39"/>
        <v>0</v>
      </c>
      <c r="V89" s="8"/>
      <c r="Z89" s="10"/>
      <c r="AA89" s="8"/>
      <c r="AG89" s="8"/>
      <c r="AI89" s="8"/>
    </row>
    <row r="90" spans="2:35" ht="27" customHeight="1" x14ac:dyDescent="0.25">
      <c r="B90" s="62" t="s">
        <v>170</v>
      </c>
      <c r="C90" s="71" t="s">
        <v>171</v>
      </c>
      <c r="D90" s="71"/>
      <c r="E90" s="51">
        <f t="shared" ref="E90:E97" si="61">SUM(H90:S90)-G90</f>
        <v>0</v>
      </c>
      <c r="F90" s="10"/>
      <c r="G90" s="63">
        <f>+G91</f>
        <v>0</v>
      </c>
      <c r="H90" s="63">
        <f t="shared" ref="H90:S91" si="62">+H91</f>
        <v>0</v>
      </c>
      <c r="I90" s="63">
        <f t="shared" si="62"/>
        <v>0</v>
      </c>
      <c r="J90" s="63">
        <f t="shared" si="62"/>
        <v>0</v>
      </c>
      <c r="K90" s="63">
        <f t="shared" si="62"/>
        <v>0</v>
      </c>
      <c r="L90" s="63">
        <f t="shared" si="62"/>
        <v>0</v>
      </c>
      <c r="M90" s="63">
        <f t="shared" si="62"/>
        <v>0</v>
      </c>
      <c r="N90" s="63">
        <f t="shared" si="62"/>
        <v>0</v>
      </c>
      <c r="O90" s="63">
        <f t="shared" si="62"/>
        <v>0</v>
      </c>
      <c r="P90" s="63">
        <f t="shared" si="62"/>
        <v>0</v>
      </c>
      <c r="Q90" s="63">
        <f t="shared" si="62"/>
        <v>0</v>
      </c>
      <c r="R90" s="63">
        <f t="shared" si="62"/>
        <v>0</v>
      </c>
      <c r="S90" s="63">
        <f t="shared" si="62"/>
        <v>0</v>
      </c>
      <c r="T90" s="7">
        <f t="shared" si="29"/>
        <v>0</v>
      </c>
      <c r="U90" s="8">
        <f t="shared" si="39"/>
        <v>0</v>
      </c>
      <c r="V90" s="8"/>
      <c r="Z90" s="63" t="e">
        <f>+#REF!+#REF!+#REF!</f>
        <v>#REF!</v>
      </c>
      <c r="AA90" s="8" t="e">
        <f t="shared" si="9"/>
        <v>#REF!</v>
      </c>
      <c r="AI90" s="8"/>
    </row>
    <row r="91" spans="2:35" ht="9.75" customHeight="1" x14ac:dyDescent="0.25">
      <c r="B91" s="62" t="s">
        <v>172</v>
      </c>
      <c r="C91" s="62" t="s">
        <v>92</v>
      </c>
      <c r="D91" s="62"/>
      <c r="E91" s="51">
        <f t="shared" si="61"/>
        <v>0</v>
      </c>
      <c r="F91" s="10"/>
      <c r="G91" s="63">
        <f>+G92</f>
        <v>0</v>
      </c>
      <c r="H91" s="63">
        <f t="shared" si="62"/>
        <v>0</v>
      </c>
      <c r="I91" s="63">
        <f t="shared" si="62"/>
        <v>0</v>
      </c>
      <c r="J91" s="63">
        <f t="shared" si="62"/>
        <v>0</v>
      </c>
      <c r="K91" s="63">
        <f t="shared" si="62"/>
        <v>0</v>
      </c>
      <c r="L91" s="63">
        <f t="shared" si="62"/>
        <v>0</v>
      </c>
      <c r="M91" s="63">
        <f t="shared" si="62"/>
        <v>0</v>
      </c>
      <c r="N91" s="63">
        <f t="shared" si="62"/>
        <v>0</v>
      </c>
      <c r="O91" s="63">
        <f t="shared" si="62"/>
        <v>0</v>
      </c>
      <c r="P91" s="63">
        <f t="shared" si="62"/>
        <v>0</v>
      </c>
      <c r="Q91" s="63">
        <f t="shared" si="62"/>
        <v>0</v>
      </c>
      <c r="R91" s="63">
        <f t="shared" si="62"/>
        <v>0</v>
      </c>
      <c r="S91" s="63">
        <f t="shared" si="62"/>
        <v>0</v>
      </c>
      <c r="T91" s="7">
        <f t="shared" si="29"/>
        <v>0</v>
      </c>
      <c r="U91" s="8">
        <f t="shared" si="39"/>
        <v>0</v>
      </c>
      <c r="V91" s="8"/>
      <c r="Z91" s="63" t="e">
        <f>+#REF!+#REF!</f>
        <v>#REF!</v>
      </c>
      <c r="AA91" s="8" t="e">
        <f t="shared" si="9"/>
        <v>#REF!</v>
      </c>
      <c r="AG91" s="8">
        <v>276892.46000000002</v>
      </c>
      <c r="AI91" s="8"/>
    </row>
    <row r="92" spans="2:35" ht="9.75" customHeight="1" x14ac:dyDescent="0.25">
      <c r="B92" s="62" t="s">
        <v>173</v>
      </c>
      <c r="C92" s="62" t="s">
        <v>143</v>
      </c>
      <c r="D92" s="62"/>
      <c r="E92" s="51">
        <f t="shared" si="61"/>
        <v>0</v>
      </c>
      <c r="F92" s="10"/>
      <c r="G92" s="63">
        <f t="shared" ref="G92:S92" si="63">+G93</f>
        <v>0</v>
      </c>
      <c r="H92" s="63">
        <f t="shared" si="63"/>
        <v>0</v>
      </c>
      <c r="I92" s="63">
        <f t="shared" si="63"/>
        <v>0</v>
      </c>
      <c r="J92" s="63">
        <f t="shared" si="63"/>
        <v>0</v>
      </c>
      <c r="K92" s="63">
        <f t="shared" si="63"/>
        <v>0</v>
      </c>
      <c r="L92" s="63">
        <f t="shared" si="63"/>
        <v>0</v>
      </c>
      <c r="M92" s="63">
        <f t="shared" si="63"/>
        <v>0</v>
      </c>
      <c r="N92" s="63">
        <f t="shared" si="63"/>
        <v>0</v>
      </c>
      <c r="O92" s="63">
        <f t="shared" si="63"/>
        <v>0</v>
      </c>
      <c r="P92" s="63">
        <f t="shared" si="63"/>
        <v>0</v>
      </c>
      <c r="Q92" s="63">
        <f t="shared" si="63"/>
        <v>0</v>
      </c>
      <c r="R92" s="63">
        <f t="shared" si="63"/>
        <v>0</v>
      </c>
      <c r="S92" s="63">
        <f t="shared" si="63"/>
        <v>0</v>
      </c>
      <c r="T92" s="7">
        <f t="shared" si="29"/>
        <v>0</v>
      </c>
      <c r="U92" s="8">
        <f t="shared" si="39"/>
        <v>0</v>
      </c>
      <c r="V92" s="8"/>
      <c r="Z92" s="63">
        <f t="shared" ref="Z92" si="64">+Z93</f>
        <v>317349.51</v>
      </c>
      <c r="AA92" s="8">
        <f t="shared" si="9"/>
        <v>317349.51</v>
      </c>
      <c r="AI92" s="8"/>
    </row>
    <row r="93" spans="2:35" ht="9.75" customHeight="1" x14ac:dyDescent="0.25">
      <c r="B93" s="62" t="s">
        <v>174</v>
      </c>
      <c r="C93" s="64" t="s">
        <v>145</v>
      </c>
      <c r="D93" s="64" t="s">
        <v>58</v>
      </c>
      <c r="E93" s="51">
        <f t="shared" si="60"/>
        <v>0</v>
      </c>
      <c r="F93" s="10">
        <f t="shared" ref="F93" si="65">+G93</f>
        <v>0</v>
      </c>
      <c r="G93" s="10">
        <f>SUM(H93:S93)</f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7">
        <f t="shared" si="29"/>
        <v>0</v>
      </c>
      <c r="U93" s="8">
        <f t="shared" si="39"/>
        <v>0</v>
      </c>
      <c r="V93" s="8"/>
      <c r="Z93" s="10">
        <v>317349.51</v>
      </c>
      <c r="AA93" s="8">
        <f t="shared" si="9"/>
        <v>317349.51</v>
      </c>
      <c r="AG93" s="8">
        <v>104398.39999999999</v>
      </c>
      <c r="AI93" s="8">
        <f>+G93</f>
        <v>0</v>
      </c>
    </row>
    <row r="94" spans="2:35" ht="9.75" customHeight="1" x14ac:dyDescent="0.25">
      <c r="B94" s="62" t="s">
        <v>175</v>
      </c>
      <c r="C94" s="62" t="s">
        <v>176</v>
      </c>
      <c r="D94" s="62"/>
      <c r="E94" s="51">
        <f t="shared" si="61"/>
        <v>0</v>
      </c>
      <c r="F94" s="10"/>
      <c r="G94" s="63">
        <f>+G95+G107</f>
        <v>163700</v>
      </c>
      <c r="H94" s="63">
        <f t="shared" ref="H94:S94" si="66">+H95+H107</f>
        <v>27000</v>
      </c>
      <c r="I94" s="63">
        <f t="shared" si="66"/>
        <v>12000</v>
      </c>
      <c r="J94" s="63">
        <f t="shared" si="66"/>
        <v>17500</v>
      </c>
      <c r="K94" s="63">
        <f t="shared" si="66"/>
        <v>0</v>
      </c>
      <c r="L94" s="63">
        <f t="shared" si="66"/>
        <v>30500</v>
      </c>
      <c r="M94" s="63">
        <f t="shared" si="66"/>
        <v>10000</v>
      </c>
      <c r="N94" s="63">
        <f t="shared" si="66"/>
        <v>25500</v>
      </c>
      <c r="O94" s="63">
        <f t="shared" si="66"/>
        <v>16200</v>
      </c>
      <c r="P94" s="63">
        <f t="shared" si="66"/>
        <v>25000</v>
      </c>
      <c r="Q94" s="63">
        <f t="shared" si="66"/>
        <v>0</v>
      </c>
      <c r="R94" s="63">
        <f t="shared" si="66"/>
        <v>0</v>
      </c>
      <c r="S94" s="63">
        <f t="shared" si="66"/>
        <v>0</v>
      </c>
      <c r="T94" s="7">
        <f t="shared" si="29"/>
        <v>163700</v>
      </c>
      <c r="U94" s="8">
        <f t="shared" si="39"/>
        <v>0</v>
      </c>
      <c r="V94" s="8"/>
      <c r="Z94" s="63"/>
      <c r="AA94" s="8"/>
      <c r="AI94" s="8"/>
    </row>
    <row r="95" spans="2:35" ht="9.75" customHeight="1" x14ac:dyDescent="0.25">
      <c r="B95" s="62" t="s">
        <v>177</v>
      </c>
      <c r="C95" s="62" t="s">
        <v>178</v>
      </c>
      <c r="D95" s="62"/>
      <c r="E95" s="51">
        <f t="shared" si="61"/>
        <v>0</v>
      </c>
      <c r="F95" s="10"/>
      <c r="G95" s="63">
        <f>+G96</f>
        <v>163700</v>
      </c>
      <c r="H95" s="63">
        <f t="shared" ref="H95:S95" si="67">+H96</f>
        <v>27000</v>
      </c>
      <c r="I95" s="63">
        <f t="shared" si="67"/>
        <v>12000</v>
      </c>
      <c r="J95" s="63">
        <f t="shared" si="67"/>
        <v>17500</v>
      </c>
      <c r="K95" s="63">
        <f t="shared" si="67"/>
        <v>0</v>
      </c>
      <c r="L95" s="63">
        <f t="shared" si="67"/>
        <v>30500</v>
      </c>
      <c r="M95" s="63">
        <f t="shared" si="67"/>
        <v>10000</v>
      </c>
      <c r="N95" s="63">
        <f t="shared" si="67"/>
        <v>25500</v>
      </c>
      <c r="O95" s="63">
        <f t="shared" si="67"/>
        <v>16200</v>
      </c>
      <c r="P95" s="63">
        <f t="shared" si="67"/>
        <v>25000</v>
      </c>
      <c r="Q95" s="63">
        <f t="shared" si="67"/>
        <v>0</v>
      </c>
      <c r="R95" s="63">
        <f t="shared" si="67"/>
        <v>0</v>
      </c>
      <c r="S95" s="63">
        <f t="shared" si="67"/>
        <v>0</v>
      </c>
      <c r="T95" s="7">
        <f t="shared" si="29"/>
        <v>163700</v>
      </c>
      <c r="U95" s="8">
        <f t="shared" si="39"/>
        <v>0</v>
      </c>
      <c r="V95" s="8"/>
      <c r="Z95" s="63"/>
      <c r="AA95" s="8"/>
      <c r="AI95" s="8"/>
    </row>
    <row r="96" spans="2:35" ht="9.75" customHeight="1" x14ac:dyDescent="0.25">
      <c r="B96" s="62" t="s">
        <v>179</v>
      </c>
      <c r="C96" s="62" t="s">
        <v>180</v>
      </c>
      <c r="D96" s="62"/>
      <c r="E96" s="51">
        <f t="shared" si="61"/>
        <v>0</v>
      </c>
      <c r="F96" s="10"/>
      <c r="G96" s="63">
        <f>+G97+G104</f>
        <v>163700</v>
      </c>
      <c r="H96" s="63">
        <f t="shared" ref="H96:S96" si="68">+H97+H104</f>
        <v>27000</v>
      </c>
      <c r="I96" s="63">
        <f t="shared" si="68"/>
        <v>12000</v>
      </c>
      <c r="J96" s="63">
        <f t="shared" si="68"/>
        <v>17500</v>
      </c>
      <c r="K96" s="63">
        <f t="shared" si="68"/>
        <v>0</v>
      </c>
      <c r="L96" s="63">
        <f t="shared" si="68"/>
        <v>30500</v>
      </c>
      <c r="M96" s="63">
        <f t="shared" si="68"/>
        <v>10000</v>
      </c>
      <c r="N96" s="63">
        <f t="shared" si="68"/>
        <v>25500</v>
      </c>
      <c r="O96" s="63">
        <f t="shared" si="68"/>
        <v>16200</v>
      </c>
      <c r="P96" s="63">
        <f t="shared" si="68"/>
        <v>25000</v>
      </c>
      <c r="Q96" s="63">
        <f t="shared" si="68"/>
        <v>0</v>
      </c>
      <c r="R96" s="63">
        <f t="shared" si="68"/>
        <v>0</v>
      </c>
      <c r="S96" s="63">
        <f t="shared" si="68"/>
        <v>0</v>
      </c>
      <c r="T96" s="7">
        <f t="shared" si="29"/>
        <v>163700</v>
      </c>
      <c r="U96" s="8">
        <f t="shared" si="39"/>
        <v>0</v>
      </c>
      <c r="V96" s="8"/>
      <c r="Z96" s="63"/>
      <c r="AA96" s="8"/>
      <c r="AI96" s="8"/>
    </row>
    <row r="97" spans="2:35" ht="9.75" customHeight="1" x14ac:dyDescent="0.25">
      <c r="B97" s="62" t="s">
        <v>181</v>
      </c>
      <c r="C97" s="62" t="s">
        <v>182</v>
      </c>
      <c r="D97" s="62"/>
      <c r="E97" s="51">
        <f t="shared" si="61"/>
        <v>0</v>
      </c>
      <c r="F97" s="10">
        <v>0</v>
      </c>
      <c r="G97" s="63">
        <f>SUM(G98:G103)</f>
        <v>163700</v>
      </c>
      <c r="H97" s="63">
        <f t="shared" ref="H97:S97" si="69">SUM(H98:H103)</f>
        <v>27000</v>
      </c>
      <c r="I97" s="63">
        <f t="shared" si="69"/>
        <v>12000</v>
      </c>
      <c r="J97" s="63">
        <f t="shared" si="69"/>
        <v>17500</v>
      </c>
      <c r="K97" s="63">
        <f t="shared" si="69"/>
        <v>0</v>
      </c>
      <c r="L97" s="63">
        <f t="shared" si="69"/>
        <v>30500</v>
      </c>
      <c r="M97" s="63">
        <f t="shared" si="69"/>
        <v>10000</v>
      </c>
      <c r="N97" s="63">
        <f t="shared" si="69"/>
        <v>25500</v>
      </c>
      <c r="O97" s="63">
        <f t="shared" si="69"/>
        <v>16200</v>
      </c>
      <c r="P97" s="63">
        <f t="shared" si="69"/>
        <v>25000</v>
      </c>
      <c r="Q97" s="63">
        <f t="shared" si="69"/>
        <v>0</v>
      </c>
      <c r="R97" s="63">
        <f t="shared" si="69"/>
        <v>0</v>
      </c>
      <c r="S97" s="63">
        <f t="shared" si="69"/>
        <v>0</v>
      </c>
      <c r="T97" s="7">
        <f t="shared" si="29"/>
        <v>163700</v>
      </c>
      <c r="U97" s="8">
        <f t="shared" si="39"/>
        <v>0</v>
      </c>
      <c r="V97" s="8"/>
      <c r="Z97" s="63"/>
      <c r="AA97" s="8"/>
      <c r="AI97" s="8"/>
    </row>
    <row r="98" spans="2:35" ht="9.75" customHeight="1" x14ac:dyDescent="0.25">
      <c r="B98" s="64" t="s">
        <v>183</v>
      </c>
      <c r="C98" s="64" t="s">
        <v>184</v>
      </c>
      <c r="D98" s="64" t="s">
        <v>129</v>
      </c>
      <c r="E98" s="51">
        <f t="shared" ref="E98:E108" si="70">+F98-G98</f>
        <v>0</v>
      </c>
      <c r="F98" s="10">
        <f t="shared" ref="F98:F103" si="71">+G98</f>
        <v>1200</v>
      </c>
      <c r="G98" s="10">
        <f t="shared" ref="G98:G103" si="72">SUM(H98:S98)</f>
        <v>1200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1200</v>
      </c>
      <c r="P98" s="10">
        <v>0</v>
      </c>
      <c r="Q98" s="10">
        <v>0</v>
      </c>
      <c r="R98" s="10">
        <v>0</v>
      </c>
      <c r="S98" s="10">
        <v>0</v>
      </c>
      <c r="T98" s="7">
        <f t="shared" si="29"/>
        <v>1200</v>
      </c>
      <c r="U98" s="8">
        <f t="shared" si="39"/>
        <v>0</v>
      </c>
      <c r="V98" s="8"/>
      <c r="Z98" s="10"/>
      <c r="AA98" s="8"/>
      <c r="AI98" s="8">
        <f t="shared" ref="AI98:AI103" si="73">+G98</f>
        <v>1200</v>
      </c>
    </row>
    <row r="99" spans="2:35" ht="9.75" customHeight="1" x14ac:dyDescent="0.25">
      <c r="B99" s="64" t="s">
        <v>185</v>
      </c>
      <c r="C99" s="64" t="s">
        <v>186</v>
      </c>
      <c r="D99" s="64" t="s">
        <v>129</v>
      </c>
      <c r="E99" s="51">
        <f t="shared" si="70"/>
        <v>0</v>
      </c>
      <c r="F99" s="10">
        <f t="shared" si="71"/>
        <v>0</v>
      </c>
      <c r="G99" s="10">
        <f t="shared" si="72"/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7">
        <f t="shared" si="29"/>
        <v>0</v>
      </c>
      <c r="U99" s="8">
        <f t="shared" si="39"/>
        <v>0</v>
      </c>
      <c r="V99" s="8"/>
      <c r="Z99" s="10"/>
      <c r="AA99" s="8"/>
      <c r="AI99" s="8">
        <f t="shared" si="73"/>
        <v>0</v>
      </c>
    </row>
    <row r="100" spans="2:35" ht="9.75" customHeight="1" x14ac:dyDescent="0.25">
      <c r="B100" s="64" t="s">
        <v>187</v>
      </c>
      <c r="C100" s="64" t="s">
        <v>188</v>
      </c>
      <c r="D100" s="64" t="s">
        <v>129</v>
      </c>
      <c r="E100" s="51">
        <f t="shared" si="70"/>
        <v>0</v>
      </c>
      <c r="F100" s="10">
        <f t="shared" si="71"/>
        <v>162500</v>
      </c>
      <c r="G100" s="10">
        <f t="shared" si="72"/>
        <v>162500</v>
      </c>
      <c r="H100" s="10">
        <v>27000</v>
      </c>
      <c r="I100" s="10">
        <v>12000</v>
      </c>
      <c r="J100" s="10">
        <v>17500</v>
      </c>
      <c r="K100" s="10">
        <v>0</v>
      </c>
      <c r="L100" s="10">
        <v>30500</v>
      </c>
      <c r="M100" s="10">
        <v>10000</v>
      </c>
      <c r="N100" s="10">
        <v>25500</v>
      </c>
      <c r="O100" s="10">
        <v>15000</v>
      </c>
      <c r="P100" s="10">
        <v>25000</v>
      </c>
      <c r="Q100" s="10">
        <v>0</v>
      </c>
      <c r="R100" s="10">
        <v>0</v>
      </c>
      <c r="S100" s="10">
        <v>0</v>
      </c>
      <c r="T100" s="7">
        <f t="shared" si="29"/>
        <v>162500</v>
      </c>
      <c r="U100" s="8">
        <f t="shared" si="39"/>
        <v>0</v>
      </c>
      <c r="V100" s="8"/>
      <c r="Z100" s="10"/>
      <c r="AA100" s="8"/>
      <c r="AG100" s="8">
        <f>192608.68*1.03</f>
        <v>198386.94039999999</v>
      </c>
      <c r="AI100" s="8">
        <f t="shared" si="73"/>
        <v>162500</v>
      </c>
    </row>
    <row r="101" spans="2:35" ht="9.75" customHeight="1" x14ac:dyDescent="0.25">
      <c r="B101" s="64" t="s">
        <v>189</v>
      </c>
      <c r="C101" s="64" t="s">
        <v>190</v>
      </c>
      <c r="D101" s="64" t="s">
        <v>129</v>
      </c>
      <c r="E101" s="51">
        <f t="shared" si="70"/>
        <v>0</v>
      </c>
      <c r="F101" s="10">
        <f t="shared" si="71"/>
        <v>0</v>
      </c>
      <c r="G101" s="10">
        <f t="shared" si="72"/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7">
        <f t="shared" si="29"/>
        <v>0</v>
      </c>
      <c r="U101" s="8">
        <f t="shared" si="39"/>
        <v>0</v>
      </c>
      <c r="V101" s="8"/>
      <c r="Z101" s="10">
        <v>193486.93</v>
      </c>
      <c r="AA101" s="8">
        <f t="shared" ref="AA101:AA107" si="74">+Z101-G101</f>
        <v>193486.93</v>
      </c>
      <c r="AG101" s="8">
        <f>192608.68*1.03</f>
        <v>198386.94039999999</v>
      </c>
      <c r="AI101" s="8">
        <f t="shared" si="73"/>
        <v>0</v>
      </c>
    </row>
    <row r="102" spans="2:35" ht="9.75" customHeight="1" x14ac:dyDescent="0.25">
      <c r="B102" s="64" t="s">
        <v>191</v>
      </c>
      <c r="C102" s="64" t="s">
        <v>192</v>
      </c>
      <c r="D102" s="64" t="s">
        <v>129</v>
      </c>
      <c r="E102" s="51">
        <f t="shared" si="70"/>
        <v>0</v>
      </c>
      <c r="F102" s="10">
        <f t="shared" si="71"/>
        <v>0</v>
      </c>
      <c r="G102" s="10">
        <f t="shared" si="72"/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7">
        <f t="shared" si="29"/>
        <v>0</v>
      </c>
      <c r="U102" s="8">
        <f t="shared" si="39"/>
        <v>0</v>
      </c>
      <c r="V102" s="8"/>
      <c r="Z102" s="10">
        <v>193486.93</v>
      </c>
      <c r="AA102" s="8">
        <f t="shared" si="74"/>
        <v>193486.93</v>
      </c>
      <c r="AG102" s="8">
        <f>192608.68*1.03</f>
        <v>198386.94039999999</v>
      </c>
      <c r="AI102" s="8">
        <f t="shared" si="73"/>
        <v>0</v>
      </c>
    </row>
    <row r="103" spans="2:35" ht="9.75" customHeight="1" x14ac:dyDescent="0.25">
      <c r="B103" s="64" t="s">
        <v>193</v>
      </c>
      <c r="C103" s="64" t="s">
        <v>194</v>
      </c>
      <c r="D103" s="64" t="s">
        <v>129</v>
      </c>
      <c r="E103" s="51">
        <f t="shared" si="70"/>
        <v>0</v>
      </c>
      <c r="F103" s="10">
        <f t="shared" si="71"/>
        <v>0</v>
      </c>
      <c r="G103" s="10">
        <f t="shared" si="72"/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7">
        <f t="shared" si="29"/>
        <v>0</v>
      </c>
      <c r="U103" s="8">
        <f t="shared" si="39"/>
        <v>0</v>
      </c>
      <c r="V103" s="8"/>
      <c r="Z103" s="10">
        <v>193486.93</v>
      </c>
      <c r="AA103" s="8">
        <f t="shared" si="74"/>
        <v>193486.93</v>
      </c>
      <c r="AG103" s="8">
        <f>192608.68*1.03</f>
        <v>198386.94039999999</v>
      </c>
      <c r="AI103" s="8">
        <f t="shared" si="73"/>
        <v>0</v>
      </c>
    </row>
    <row r="104" spans="2:35" ht="9.75" customHeight="1" x14ac:dyDescent="0.25">
      <c r="B104" s="62" t="s">
        <v>195</v>
      </c>
      <c r="C104" s="62" t="s">
        <v>196</v>
      </c>
      <c r="D104" s="62"/>
      <c r="F104" s="63">
        <v>0</v>
      </c>
      <c r="G104" s="63">
        <f>SUM(G105:G106)</f>
        <v>0</v>
      </c>
      <c r="H104" s="63">
        <f t="shared" ref="H104:S104" si="75">SUM(H105:H106)</f>
        <v>0</v>
      </c>
      <c r="I104" s="63">
        <f t="shared" si="75"/>
        <v>0</v>
      </c>
      <c r="J104" s="63">
        <f t="shared" si="75"/>
        <v>0</v>
      </c>
      <c r="K104" s="63">
        <f t="shared" si="75"/>
        <v>0</v>
      </c>
      <c r="L104" s="63">
        <f t="shared" si="75"/>
        <v>0</v>
      </c>
      <c r="M104" s="63">
        <f t="shared" si="75"/>
        <v>0</v>
      </c>
      <c r="N104" s="63">
        <f t="shared" si="75"/>
        <v>0</v>
      </c>
      <c r="O104" s="63">
        <f t="shared" si="75"/>
        <v>0</v>
      </c>
      <c r="P104" s="63">
        <f t="shared" si="75"/>
        <v>0</v>
      </c>
      <c r="Q104" s="63">
        <f t="shared" si="75"/>
        <v>0</v>
      </c>
      <c r="R104" s="63">
        <f t="shared" si="75"/>
        <v>0</v>
      </c>
      <c r="S104" s="63">
        <f t="shared" si="75"/>
        <v>0</v>
      </c>
      <c r="T104" s="7">
        <f t="shared" si="29"/>
        <v>0</v>
      </c>
      <c r="U104" s="8">
        <f t="shared" si="39"/>
        <v>0</v>
      </c>
      <c r="V104" s="8"/>
      <c r="Z104" s="63">
        <f t="shared" ref="Z104" si="76">+Z106</f>
        <v>193486.93</v>
      </c>
      <c r="AA104" s="8">
        <f t="shared" si="74"/>
        <v>193486.93</v>
      </c>
      <c r="AI104" s="8"/>
    </row>
    <row r="105" spans="2:35" ht="9.75" customHeight="1" x14ac:dyDescent="0.25">
      <c r="B105" s="64" t="s">
        <v>197</v>
      </c>
      <c r="C105" s="64" t="s">
        <v>184</v>
      </c>
      <c r="D105" s="64" t="s">
        <v>129</v>
      </c>
      <c r="E105" s="51">
        <f t="shared" si="70"/>
        <v>0</v>
      </c>
      <c r="F105" s="10">
        <f t="shared" ref="F105:F108" si="77">+G105</f>
        <v>0</v>
      </c>
      <c r="G105" s="10">
        <f>SUM(H105:S105)</f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7">
        <f t="shared" si="29"/>
        <v>0</v>
      </c>
      <c r="U105" s="8">
        <f t="shared" si="39"/>
        <v>0</v>
      </c>
      <c r="V105" s="8"/>
      <c r="Z105" s="10">
        <v>44782.61</v>
      </c>
      <c r="AA105" s="8">
        <f t="shared" si="74"/>
        <v>44782.61</v>
      </c>
      <c r="AI105" s="8">
        <f>+G105</f>
        <v>0</v>
      </c>
    </row>
    <row r="106" spans="2:35" ht="9.75" customHeight="1" x14ac:dyDescent="0.25">
      <c r="B106" s="64" t="s">
        <v>198</v>
      </c>
      <c r="C106" s="64" t="s">
        <v>188</v>
      </c>
      <c r="D106" s="64" t="s">
        <v>129</v>
      </c>
      <c r="E106" s="51">
        <f t="shared" si="70"/>
        <v>0</v>
      </c>
      <c r="F106" s="10">
        <f t="shared" si="77"/>
        <v>0</v>
      </c>
      <c r="G106" s="10">
        <f>SUM(H106:S106)</f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7">
        <f t="shared" si="29"/>
        <v>0</v>
      </c>
      <c r="U106" s="8">
        <f t="shared" si="39"/>
        <v>0</v>
      </c>
      <c r="V106" s="8"/>
      <c r="Z106" s="10">
        <v>193486.93</v>
      </c>
      <c r="AA106" s="8">
        <f t="shared" si="74"/>
        <v>193486.93</v>
      </c>
      <c r="AG106" s="8">
        <f>192608.68*1.03</f>
        <v>198386.94039999999</v>
      </c>
      <c r="AI106" s="8">
        <f>+G106</f>
        <v>0</v>
      </c>
    </row>
    <row r="107" spans="2:35" ht="22.5" customHeight="1" x14ac:dyDescent="0.25">
      <c r="B107" s="62" t="s">
        <v>199</v>
      </c>
      <c r="C107" s="71" t="s">
        <v>200</v>
      </c>
      <c r="D107" s="71"/>
      <c r="E107" s="51">
        <f t="shared" si="70"/>
        <v>0</v>
      </c>
      <c r="F107" s="10"/>
      <c r="G107" s="63">
        <f>+G108</f>
        <v>0</v>
      </c>
      <c r="H107" s="63">
        <f t="shared" ref="H107:S107" si="78">+H108</f>
        <v>0</v>
      </c>
      <c r="I107" s="63">
        <f t="shared" si="78"/>
        <v>0</v>
      </c>
      <c r="J107" s="63">
        <f t="shared" si="78"/>
        <v>0</v>
      </c>
      <c r="K107" s="63">
        <f t="shared" si="78"/>
        <v>0</v>
      </c>
      <c r="L107" s="63">
        <f t="shared" si="78"/>
        <v>0</v>
      </c>
      <c r="M107" s="63">
        <f t="shared" si="78"/>
        <v>0</v>
      </c>
      <c r="N107" s="63">
        <f t="shared" si="78"/>
        <v>0</v>
      </c>
      <c r="O107" s="63">
        <f t="shared" si="78"/>
        <v>0</v>
      </c>
      <c r="P107" s="63">
        <f t="shared" si="78"/>
        <v>0</v>
      </c>
      <c r="Q107" s="63">
        <f t="shared" si="78"/>
        <v>0</v>
      </c>
      <c r="R107" s="63">
        <f t="shared" si="78"/>
        <v>0</v>
      </c>
      <c r="S107" s="63">
        <f t="shared" si="78"/>
        <v>0</v>
      </c>
      <c r="T107" s="7">
        <f t="shared" si="29"/>
        <v>0</v>
      </c>
      <c r="U107" s="8">
        <f t="shared" si="39"/>
        <v>0</v>
      </c>
      <c r="V107" s="8"/>
      <c r="Z107" s="63">
        <f>SUM(Z108:Z124)</f>
        <v>716152.09999999986</v>
      </c>
      <c r="AA107" s="8">
        <f t="shared" si="74"/>
        <v>716152.09999999986</v>
      </c>
      <c r="AI107" s="8"/>
    </row>
    <row r="108" spans="2:35" ht="9.75" customHeight="1" x14ac:dyDescent="0.25">
      <c r="B108" s="62" t="s">
        <v>201</v>
      </c>
      <c r="C108" s="64" t="s">
        <v>202</v>
      </c>
      <c r="D108" s="64" t="s">
        <v>129</v>
      </c>
      <c r="E108" s="51">
        <f t="shared" si="70"/>
        <v>0</v>
      </c>
      <c r="F108" s="10">
        <f t="shared" si="77"/>
        <v>0</v>
      </c>
      <c r="G108" s="10">
        <f>SUM(H108:S108)</f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7">
        <f t="shared" si="29"/>
        <v>0</v>
      </c>
      <c r="U108" s="8">
        <f t="shared" si="39"/>
        <v>0</v>
      </c>
      <c r="V108" s="8"/>
      <c r="Z108" s="10"/>
      <c r="AA108" s="8"/>
      <c r="AG108" s="8"/>
      <c r="AI108" s="8"/>
    </row>
    <row r="109" spans="2:35" ht="9.75" customHeight="1" x14ac:dyDescent="0.25">
      <c r="B109" s="62" t="s">
        <v>203</v>
      </c>
      <c r="C109" s="62" t="s">
        <v>204</v>
      </c>
      <c r="D109" s="62"/>
      <c r="E109" s="51">
        <f t="shared" ref="E109:E110" si="79">SUM(H109:S109)-G109</f>
        <v>0</v>
      </c>
      <c r="F109" s="10"/>
      <c r="G109" s="63">
        <f t="shared" ref="G109:S109" si="80">+G110+G240+G417+G436+G444</f>
        <v>4886074.1139999991</v>
      </c>
      <c r="H109" s="63">
        <f t="shared" si="80"/>
        <v>1817949.7510000004</v>
      </c>
      <c r="I109" s="63">
        <f t="shared" si="80"/>
        <v>324162.80000000005</v>
      </c>
      <c r="J109" s="63">
        <f t="shared" si="80"/>
        <v>448246.11</v>
      </c>
      <c r="K109" s="63">
        <f t="shared" si="80"/>
        <v>246484.78999999998</v>
      </c>
      <c r="L109" s="63">
        <f t="shared" si="80"/>
        <v>413892.77</v>
      </c>
      <c r="M109" s="63">
        <f t="shared" si="80"/>
        <v>217446.47000000003</v>
      </c>
      <c r="N109" s="63">
        <f t="shared" si="80"/>
        <v>327859.66000000003</v>
      </c>
      <c r="O109" s="63">
        <f t="shared" si="80"/>
        <v>237818.36</v>
      </c>
      <c r="P109" s="63">
        <f t="shared" si="80"/>
        <v>355896.77</v>
      </c>
      <c r="Q109" s="63">
        <f t="shared" si="80"/>
        <v>152968.58000000002</v>
      </c>
      <c r="R109" s="63">
        <f t="shared" si="80"/>
        <v>210254.71000000002</v>
      </c>
      <c r="S109" s="63">
        <f t="shared" si="80"/>
        <v>133093.34299999999</v>
      </c>
      <c r="T109" s="7">
        <f t="shared" si="29"/>
        <v>4886074.114000001</v>
      </c>
      <c r="U109" s="8">
        <f t="shared" si="39"/>
        <v>0</v>
      </c>
      <c r="V109" s="8"/>
      <c r="Z109" s="63"/>
      <c r="AA109" s="8"/>
      <c r="AI109" s="8"/>
    </row>
    <row r="110" spans="2:35" ht="15" customHeight="1" x14ac:dyDescent="0.25">
      <c r="B110" s="62" t="s">
        <v>205</v>
      </c>
      <c r="C110" s="72" t="s">
        <v>206</v>
      </c>
      <c r="D110" s="72"/>
      <c r="E110" s="51">
        <f t="shared" si="79"/>
        <v>0</v>
      </c>
      <c r="F110" s="10"/>
      <c r="G110" s="63">
        <f>+G111+G118+G141+G144+G151+G174+G230+G236+G228+G147</f>
        <v>2895542.5229999996</v>
      </c>
      <c r="H110" s="63">
        <f t="shared" ref="H110:S110" si="81">+H111+H118+H141+H144+H151+H174+H230+H236+H228+H147</f>
        <v>1336659.4600000002</v>
      </c>
      <c r="I110" s="63">
        <f t="shared" si="81"/>
        <v>167094.18000000002</v>
      </c>
      <c r="J110" s="63">
        <f t="shared" si="81"/>
        <v>208547.4</v>
      </c>
      <c r="K110" s="63">
        <f t="shared" si="81"/>
        <v>98255.83</v>
      </c>
      <c r="L110" s="63">
        <f t="shared" si="81"/>
        <v>242772.66</v>
      </c>
      <c r="M110" s="63">
        <f t="shared" si="81"/>
        <v>88720.23</v>
      </c>
      <c r="N110" s="63">
        <f t="shared" si="81"/>
        <v>205684.54</v>
      </c>
      <c r="O110" s="63">
        <f t="shared" si="81"/>
        <v>112584.98999999999</v>
      </c>
      <c r="P110" s="63">
        <f t="shared" si="81"/>
        <v>157020.32</v>
      </c>
      <c r="Q110" s="63">
        <f t="shared" si="81"/>
        <v>75352.240000000005</v>
      </c>
      <c r="R110" s="63">
        <f t="shared" si="81"/>
        <v>144232.32000000001</v>
      </c>
      <c r="S110" s="63">
        <f t="shared" si="81"/>
        <v>58618.353000000003</v>
      </c>
      <c r="T110" s="7">
        <f t="shared" si="29"/>
        <v>2895542.523</v>
      </c>
      <c r="U110" s="8">
        <f t="shared" si="39"/>
        <v>0</v>
      </c>
      <c r="V110" s="8"/>
      <c r="Z110" s="63"/>
      <c r="AA110" s="8"/>
      <c r="AI110" s="8"/>
    </row>
    <row r="111" spans="2:35" ht="9.75" customHeight="1" x14ac:dyDescent="0.25">
      <c r="B111" s="62" t="s">
        <v>207</v>
      </c>
      <c r="C111" s="62" t="s">
        <v>178</v>
      </c>
      <c r="D111" s="62"/>
      <c r="E111" s="51">
        <f t="shared" ref="E111:E117" si="82">+F111-G111</f>
        <v>0</v>
      </c>
      <c r="F111" s="10">
        <f>+G111</f>
        <v>0</v>
      </c>
      <c r="G111" s="63">
        <f>+G112+G116</f>
        <v>0</v>
      </c>
      <c r="H111" s="63">
        <f t="shared" ref="H111:S111" si="83">+H112+H116</f>
        <v>0</v>
      </c>
      <c r="I111" s="63">
        <f t="shared" si="83"/>
        <v>0</v>
      </c>
      <c r="J111" s="63">
        <f t="shared" si="83"/>
        <v>0</v>
      </c>
      <c r="K111" s="63">
        <f t="shared" si="83"/>
        <v>0</v>
      </c>
      <c r="L111" s="63">
        <f t="shared" si="83"/>
        <v>0</v>
      </c>
      <c r="M111" s="63">
        <f t="shared" si="83"/>
        <v>0</v>
      </c>
      <c r="N111" s="63">
        <f t="shared" si="83"/>
        <v>0</v>
      </c>
      <c r="O111" s="63">
        <f t="shared" si="83"/>
        <v>0</v>
      </c>
      <c r="P111" s="63">
        <f t="shared" si="83"/>
        <v>0</v>
      </c>
      <c r="Q111" s="63">
        <f t="shared" si="83"/>
        <v>0</v>
      </c>
      <c r="R111" s="63">
        <f t="shared" si="83"/>
        <v>0</v>
      </c>
      <c r="S111" s="63">
        <f t="shared" si="83"/>
        <v>0</v>
      </c>
      <c r="T111" s="7">
        <f t="shared" si="29"/>
        <v>0</v>
      </c>
      <c r="U111" s="8">
        <f t="shared" si="39"/>
        <v>0</v>
      </c>
      <c r="V111" s="8"/>
      <c r="Z111" s="63">
        <f t="shared" ref="Z111" si="84">+Z112+Z116</f>
        <v>238269.53999999998</v>
      </c>
      <c r="AA111" s="8">
        <f t="shared" si="9"/>
        <v>238269.53999999998</v>
      </c>
      <c r="AI111" s="8"/>
    </row>
    <row r="112" spans="2:35" ht="9.75" customHeight="1" x14ac:dyDescent="0.25">
      <c r="B112" s="62" t="s">
        <v>208</v>
      </c>
      <c r="C112" s="62" t="s">
        <v>182</v>
      </c>
      <c r="D112" s="62"/>
      <c r="E112" s="51">
        <f t="shared" si="82"/>
        <v>0</v>
      </c>
      <c r="F112" s="10">
        <f t="shared" ref="F112:F117" si="85">+G112</f>
        <v>0</v>
      </c>
      <c r="G112" s="63">
        <f>+G113+G114+G115</f>
        <v>0</v>
      </c>
      <c r="H112" s="63">
        <f t="shared" ref="H112:S112" si="86">+H113+H114+H115</f>
        <v>0</v>
      </c>
      <c r="I112" s="63">
        <f t="shared" si="86"/>
        <v>0</v>
      </c>
      <c r="J112" s="63">
        <f t="shared" si="86"/>
        <v>0</v>
      </c>
      <c r="K112" s="63">
        <f t="shared" si="86"/>
        <v>0</v>
      </c>
      <c r="L112" s="63">
        <f t="shared" si="86"/>
        <v>0</v>
      </c>
      <c r="M112" s="63">
        <f t="shared" si="86"/>
        <v>0</v>
      </c>
      <c r="N112" s="63">
        <f t="shared" si="86"/>
        <v>0</v>
      </c>
      <c r="O112" s="63">
        <f t="shared" si="86"/>
        <v>0</v>
      </c>
      <c r="P112" s="63">
        <f t="shared" si="86"/>
        <v>0</v>
      </c>
      <c r="Q112" s="63">
        <f t="shared" si="86"/>
        <v>0</v>
      </c>
      <c r="R112" s="63">
        <f t="shared" si="86"/>
        <v>0</v>
      </c>
      <c r="S112" s="63">
        <f t="shared" si="86"/>
        <v>0</v>
      </c>
      <c r="T112" s="7">
        <f t="shared" si="29"/>
        <v>0</v>
      </c>
      <c r="U112" s="8">
        <f t="shared" si="39"/>
        <v>0</v>
      </c>
      <c r="V112" s="8"/>
      <c r="Z112" s="63">
        <f t="shared" ref="Z112" si="87">+Z113</f>
        <v>44782.61</v>
      </c>
      <c r="AA112" s="8">
        <f t="shared" si="9"/>
        <v>44782.61</v>
      </c>
      <c r="AI112" s="8"/>
    </row>
    <row r="113" spans="2:35" ht="9.75" customHeight="1" x14ac:dyDescent="0.25">
      <c r="B113" s="64" t="s">
        <v>209</v>
      </c>
      <c r="C113" s="64" t="s">
        <v>184</v>
      </c>
      <c r="D113" s="64" t="s">
        <v>129</v>
      </c>
      <c r="E113" s="51">
        <f t="shared" si="82"/>
        <v>0</v>
      </c>
      <c r="F113" s="10">
        <f t="shared" si="85"/>
        <v>0</v>
      </c>
      <c r="G113" s="10">
        <f>SUM(H113:S113)</f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7">
        <f t="shared" si="29"/>
        <v>0</v>
      </c>
      <c r="U113" s="8">
        <f t="shared" si="39"/>
        <v>0</v>
      </c>
      <c r="V113" s="8"/>
      <c r="Z113" s="10">
        <v>44782.61</v>
      </c>
      <c r="AA113" s="8">
        <f t="shared" si="9"/>
        <v>44782.61</v>
      </c>
      <c r="AI113" s="8">
        <f>+G113</f>
        <v>0</v>
      </c>
    </row>
    <row r="114" spans="2:35" ht="9.75" customHeight="1" x14ac:dyDescent="0.25">
      <c r="B114" s="64" t="s">
        <v>210</v>
      </c>
      <c r="C114" s="64" t="s">
        <v>186</v>
      </c>
      <c r="D114" s="64"/>
      <c r="F114" s="10"/>
      <c r="G114" s="10">
        <f>SUM(H114:S114)</f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/>
      <c r="O114" s="10"/>
      <c r="P114" s="10"/>
      <c r="Q114" s="10"/>
      <c r="R114" s="10"/>
      <c r="S114" s="10"/>
      <c r="T114" s="7">
        <f t="shared" si="29"/>
        <v>0</v>
      </c>
      <c r="U114" s="8">
        <f t="shared" si="39"/>
        <v>0</v>
      </c>
      <c r="V114" s="8"/>
      <c r="Z114" s="10"/>
      <c r="AA114" s="8"/>
      <c r="AI114" s="8"/>
    </row>
    <row r="115" spans="2:35" ht="9.75" customHeight="1" x14ac:dyDescent="0.25">
      <c r="B115" s="64" t="s">
        <v>211</v>
      </c>
      <c r="C115" s="64" t="s">
        <v>188</v>
      </c>
      <c r="D115" s="64"/>
      <c r="F115" s="10"/>
      <c r="G115" s="10">
        <f>SUM(H115:S115)</f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/>
      <c r="O115" s="10"/>
      <c r="P115" s="10"/>
      <c r="Q115" s="10"/>
      <c r="R115" s="10"/>
      <c r="S115" s="10"/>
      <c r="T115" s="7">
        <f t="shared" si="29"/>
        <v>0</v>
      </c>
      <c r="U115" s="8">
        <f t="shared" si="39"/>
        <v>0</v>
      </c>
      <c r="V115" s="8"/>
      <c r="Z115" s="10"/>
      <c r="AA115" s="8"/>
      <c r="AI115" s="8"/>
    </row>
    <row r="116" spans="2:35" ht="9.75" customHeight="1" x14ac:dyDescent="0.25">
      <c r="B116" s="62" t="s">
        <v>212</v>
      </c>
      <c r="C116" s="62" t="s">
        <v>196</v>
      </c>
      <c r="D116" s="62"/>
      <c r="E116" s="51">
        <f t="shared" si="82"/>
        <v>0</v>
      </c>
      <c r="F116" s="10">
        <v>0</v>
      </c>
      <c r="G116" s="63">
        <f>+G117</f>
        <v>0</v>
      </c>
      <c r="H116" s="63">
        <f t="shared" ref="H116:S116" si="88">+H117</f>
        <v>0</v>
      </c>
      <c r="I116" s="63">
        <f t="shared" si="88"/>
        <v>0</v>
      </c>
      <c r="J116" s="63">
        <f t="shared" si="88"/>
        <v>0</v>
      </c>
      <c r="K116" s="63">
        <f t="shared" si="88"/>
        <v>0</v>
      </c>
      <c r="L116" s="63">
        <f t="shared" si="88"/>
        <v>0</v>
      </c>
      <c r="M116" s="63">
        <f t="shared" si="88"/>
        <v>0</v>
      </c>
      <c r="N116" s="63">
        <f t="shared" si="88"/>
        <v>0</v>
      </c>
      <c r="O116" s="63">
        <f t="shared" si="88"/>
        <v>0</v>
      </c>
      <c r="P116" s="63">
        <f t="shared" si="88"/>
        <v>0</v>
      </c>
      <c r="Q116" s="63">
        <f t="shared" si="88"/>
        <v>0</v>
      </c>
      <c r="R116" s="63">
        <f t="shared" si="88"/>
        <v>0</v>
      </c>
      <c r="S116" s="63">
        <f t="shared" si="88"/>
        <v>0</v>
      </c>
      <c r="T116" s="7">
        <f t="shared" si="29"/>
        <v>0</v>
      </c>
      <c r="U116" s="8">
        <f t="shared" si="39"/>
        <v>0</v>
      </c>
      <c r="V116" s="8"/>
      <c r="Z116" s="63">
        <f t="shared" ref="Z116" si="89">+Z117</f>
        <v>193486.93</v>
      </c>
      <c r="AA116" s="8">
        <f t="shared" si="9"/>
        <v>193486.93</v>
      </c>
      <c r="AI116" s="8"/>
    </row>
    <row r="117" spans="2:35" ht="9.75" customHeight="1" x14ac:dyDescent="0.25">
      <c r="B117" s="64" t="s">
        <v>213</v>
      </c>
      <c r="C117" s="64" t="s">
        <v>188</v>
      </c>
      <c r="D117" s="64" t="s">
        <v>129</v>
      </c>
      <c r="E117" s="51">
        <f t="shared" si="82"/>
        <v>0</v>
      </c>
      <c r="F117" s="10">
        <f t="shared" si="85"/>
        <v>0</v>
      </c>
      <c r="G117" s="10">
        <f>SUM(H117:S117)</f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7">
        <f t="shared" si="29"/>
        <v>0</v>
      </c>
      <c r="U117" s="8">
        <f t="shared" si="39"/>
        <v>0</v>
      </c>
      <c r="V117" s="8"/>
      <c r="Z117" s="10">
        <v>193486.93</v>
      </c>
      <c r="AA117" s="8">
        <f t="shared" si="9"/>
        <v>193486.93</v>
      </c>
      <c r="AG117" s="8">
        <f>192608.68*1.03</f>
        <v>198386.94039999999</v>
      </c>
      <c r="AI117" s="8">
        <f>+G117</f>
        <v>0</v>
      </c>
    </row>
    <row r="118" spans="2:35" ht="31.5" customHeight="1" x14ac:dyDescent="0.25">
      <c r="B118" s="62" t="s">
        <v>214</v>
      </c>
      <c r="C118" s="71" t="s">
        <v>215</v>
      </c>
      <c r="D118" s="71"/>
      <c r="E118" s="51">
        <f t="shared" ref="E118" si="90">SUM(H118:S118)-G118</f>
        <v>0</v>
      </c>
      <c r="F118" s="10"/>
      <c r="G118" s="63">
        <f>SUM(G119:G140)</f>
        <v>243455.97999999998</v>
      </c>
      <c r="H118" s="63">
        <f t="shared" ref="H118:S118" si="91">SUM(H119:H140)</f>
        <v>56812.990000000005</v>
      </c>
      <c r="I118" s="63">
        <f t="shared" si="91"/>
        <v>10903.519999999999</v>
      </c>
      <c r="J118" s="63">
        <f t="shared" si="91"/>
        <v>27736.260000000002</v>
      </c>
      <c r="K118" s="63">
        <f t="shared" si="91"/>
        <v>23288.82</v>
      </c>
      <c r="L118" s="63">
        <f t="shared" si="91"/>
        <v>40986.839999999997</v>
      </c>
      <c r="M118" s="63">
        <f t="shared" si="91"/>
        <v>24722.69</v>
      </c>
      <c r="N118" s="63">
        <f t="shared" si="91"/>
        <v>1145.21</v>
      </c>
      <c r="O118" s="63">
        <f t="shared" si="91"/>
        <v>44115.619999999995</v>
      </c>
      <c r="P118" s="63">
        <f t="shared" si="91"/>
        <v>7599.5499999999993</v>
      </c>
      <c r="Q118" s="63">
        <f t="shared" si="91"/>
        <v>2048.1600000000003</v>
      </c>
      <c r="R118" s="63">
        <f t="shared" si="91"/>
        <v>2048.1600000000003</v>
      </c>
      <c r="S118" s="63">
        <f t="shared" si="91"/>
        <v>2048.1600000000003</v>
      </c>
      <c r="T118" s="7">
        <f t="shared" si="29"/>
        <v>243455.98</v>
      </c>
      <c r="U118" s="8">
        <f t="shared" si="39"/>
        <v>0</v>
      </c>
      <c r="V118" s="8"/>
      <c r="Z118" s="63"/>
      <c r="AA118" s="8"/>
      <c r="AI118" s="8"/>
    </row>
    <row r="119" spans="2:35" ht="9.75" customHeight="1" x14ac:dyDescent="0.25">
      <c r="B119" s="64" t="s">
        <v>216</v>
      </c>
      <c r="C119" s="64" t="s">
        <v>217</v>
      </c>
      <c r="D119" s="64" t="s">
        <v>218</v>
      </c>
      <c r="E119" s="51">
        <f t="shared" ref="E119:E168" si="92">+F119-G119</f>
        <v>0</v>
      </c>
      <c r="F119" s="10">
        <f t="shared" ref="F119:F166" si="93">+G119</f>
        <v>5570.420000000001</v>
      </c>
      <c r="G119" s="10">
        <f t="shared" ref="G119:G140" si="94">SUM(H119:S119)</f>
        <v>5570.420000000001</v>
      </c>
      <c r="H119" s="10">
        <v>0</v>
      </c>
      <c r="I119" s="10">
        <v>0</v>
      </c>
      <c r="J119" s="10">
        <v>517</v>
      </c>
      <c r="K119" s="10">
        <v>0</v>
      </c>
      <c r="L119" s="10">
        <v>113</v>
      </c>
      <c r="M119" s="10">
        <v>0</v>
      </c>
      <c r="N119" s="10">
        <v>975.5</v>
      </c>
      <c r="O119" s="10"/>
      <c r="P119" s="10">
        <v>0</v>
      </c>
      <c r="Q119" s="10">
        <v>1321.64</v>
      </c>
      <c r="R119" s="10">
        <v>1321.64</v>
      </c>
      <c r="S119" s="10">
        <v>1321.64</v>
      </c>
      <c r="T119" s="7">
        <f t="shared" si="29"/>
        <v>5570.420000000001</v>
      </c>
      <c r="U119" s="8">
        <f t="shared" si="39"/>
        <v>0</v>
      </c>
      <c r="V119" s="8"/>
      <c r="Z119" s="10"/>
      <c r="AA119" s="8"/>
      <c r="AI119" s="8">
        <f t="shared" ref="AI119:AI140" si="95">+G119</f>
        <v>5570.420000000001</v>
      </c>
    </row>
    <row r="120" spans="2:35" ht="9.75" customHeight="1" x14ac:dyDescent="0.25">
      <c r="B120" s="64" t="s">
        <v>219</v>
      </c>
      <c r="C120" s="64" t="s">
        <v>220</v>
      </c>
      <c r="D120" s="64" t="s">
        <v>218</v>
      </c>
      <c r="E120" s="51">
        <f t="shared" si="92"/>
        <v>0</v>
      </c>
      <c r="F120" s="10">
        <f t="shared" si="93"/>
        <v>11059.34</v>
      </c>
      <c r="G120" s="10">
        <f t="shared" si="94"/>
        <v>11059.34</v>
      </c>
      <c r="H120" s="10">
        <v>3143.34</v>
      </c>
      <c r="I120" s="10">
        <v>775</v>
      </c>
      <c r="J120" s="10">
        <v>2983</v>
      </c>
      <c r="K120" s="10">
        <v>782</v>
      </c>
      <c r="L120" s="10">
        <v>1405</v>
      </c>
      <c r="M120" s="10">
        <v>1356</v>
      </c>
      <c r="N120" s="10"/>
      <c r="O120" s="10">
        <v>615</v>
      </c>
      <c r="P120" s="10">
        <v>0</v>
      </c>
      <c r="Q120" s="10">
        <v>0</v>
      </c>
      <c r="R120" s="10">
        <v>0</v>
      </c>
      <c r="S120" s="10">
        <v>0</v>
      </c>
      <c r="T120" s="7">
        <f t="shared" si="29"/>
        <v>11059.34</v>
      </c>
      <c r="U120" s="8">
        <f t="shared" si="39"/>
        <v>0</v>
      </c>
      <c r="V120" s="8"/>
      <c r="Z120" s="10"/>
      <c r="AA120" s="8"/>
      <c r="AI120" s="8"/>
    </row>
    <row r="121" spans="2:35" ht="9.75" customHeight="1" x14ac:dyDescent="0.25">
      <c r="B121" s="64" t="s">
        <v>221</v>
      </c>
      <c r="C121" s="64" t="s">
        <v>222</v>
      </c>
      <c r="D121" s="64"/>
      <c r="F121" s="10"/>
      <c r="G121" s="10">
        <f t="shared" si="94"/>
        <v>356</v>
      </c>
      <c r="H121" s="10">
        <v>356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7">
        <f t="shared" si="29"/>
        <v>356</v>
      </c>
      <c r="U121" s="8">
        <f t="shared" si="39"/>
        <v>0</v>
      </c>
      <c r="V121" s="8"/>
      <c r="Z121" s="10"/>
      <c r="AA121" s="8"/>
      <c r="AI121" s="8"/>
    </row>
    <row r="122" spans="2:35" ht="16.5" customHeight="1" x14ac:dyDescent="0.25">
      <c r="B122" s="64" t="s">
        <v>223</v>
      </c>
      <c r="C122" s="73" t="s">
        <v>224</v>
      </c>
      <c r="D122" s="64"/>
      <c r="F122" s="10"/>
      <c r="G122" s="10">
        <f t="shared" si="94"/>
        <v>2000</v>
      </c>
      <c r="H122" s="10">
        <v>1000</v>
      </c>
      <c r="I122" s="10">
        <v>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1000</v>
      </c>
      <c r="P122" s="10">
        <v>0</v>
      </c>
      <c r="Q122" s="10">
        <v>0</v>
      </c>
      <c r="R122" s="10">
        <v>0</v>
      </c>
      <c r="S122" s="10">
        <v>0</v>
      </c>
      <c r="T122" s="7"/>
      <c r="U122" s="8"/>
      <c r="V122" s="8"/>
      <c r="Z122" s="10"/>
      <c r="AA122" s="8"/>
      <c r="AI122" s="8"/>
    </row>
    <row r="123" spans="2:35" ht="9.75" customHeight="1" x14ac:dyDescent="0.25">
      <c r="B123" s="64" t="s">
        <v>225</v>
      </c>
      <c r="C123" s="64" t="s">
        <v>226</v>
      </c>
      <c r="D123" s="64"/>
      <c r="F123" s="10"/>
      <c r="G123" s="10">
        <f t="shared" si="94"/>
        <v>128</v>
      </c>
      <c r="H123" s="10">
        <v>0</v>
      </c>
      <c r="I123" s="10">
        <v>0</v>
      </c>
      <c r="J123" s="10">
        <v>0</v>
      </c>
      <c r="K123" s="10">
        <v>128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7">
        <f t="shared" si="29"/>
        <v>128</v>
      </c>
      <c r="U123" s="8">
        <f t="shared" si="39"/>
        <v>0</v>
      </c>
      <c r="V123" s="8"/>
      <c r="Z123" s="10"/>
      <c r="AA123" s="8"/>
      <c r="AI123" s="8"/>
    </row>
    <row r="124" spans="2:35" ht="18.75" customHeight="1" x14ac:dyDescent="0.25">
      <c r="B124" s="64" t="s">
        <v>227</v>
      </c>
      <c r="C124" s="64" t="s">
        <v>228</v>
      </c>
      <c r="D124" s="64" t="s">
        <v>218</v>
      </c>
      <c r="E124" s="51">
        <f t="shared" si="92"/>
        <v>0</v>
      </c>
      <c r="F124" s="10">
        <f t="shared" si="93"/>
        <v>0</v>
      </c>
      <c r="G124" s="10">
        <f t="shared" si="94"/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7">
        <f t="shared" si="29"/>
        <v>0</v>
      </c>
      <c r="U124" s="8">
        <f t="shared" si="39"/>
        <v>0</v>
      </c>
      <c r="V124" s="8"/>
      <c r="Z124" s="10">
        <v>1343.48</v>
      </c>
      <c r="AA124" s="8">
        <f t="shared" si="9"/>
        <v>1343.48</v>
      </c>
      <c r="AI124" s="8">
        <f t="shared" si="95"/>
        <v>0</v>
      </c>
    </row>
    <row r="125" spans="2:35" ht="9.75" customHeight="1" x14ac:dyDescent="0.25">
      <c r="B125" s="64" t="s">
        <v>229</v>
      </c>
      <c r="C125" s="64" t="s">
        <v>230</v>
      </c>
      <c r="D125" s="64" t="s">
        <v>218</v>
      </c>
      <c r="E125" s="51">
        <f>+F125-G125</f>
        <v>0</v>
      </c>
      <c r="F125" s="10">
        <f t="shared" si="93"/>
        <v>1320.6</v>
      </c>
      <c r="G125" s="10">
        <f t="shared" si="94"/>
        <v>1320.6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440.2</v>
      </c>
      <c r="R125" s="10">
        <v>440.2</v>
      </c>
      <c r="S125" s="10">
        <v>440.2</v>
      </c>
      <c r="T125" s="7">
        <f t="shared" si="29"/>
        <v>1320.6</v>
      </c>
      <c r="U125" s="8">
        <f t="shared" si="39"/>
        <v>0</v>
      </c>
      <c r="V125" s="8"/>
      <c r="Z125" s="10"/>
      <c r="AA125" s="8"/>
      <c r="AI125" s="8">
        <f t="shared" si="95"/>
        <v>1320.6</v>
      </c>
    </row>
    <row r="126" spans="2:35" ht="9.75" customHeight="1" x14ac:dyDescent="0.25">
      <c r="B126" s="64" t="s">
        <v>231</v>
      </c>
      <c r="C126" s="64" t="s">
        <v>232</v>
      </c>
      <c r="D126" s="64" t="s">
        <v>218</v>
      </c>
      <c r="E126" s="51">
        <f t="shared" si="92"/>
        <v>0</v>
      </c>
      <c r="F126" s="10">
        <f t="shared" si="93"/>
        <v>0</v>
      </c>
      <c r="G126" s="10">
        <f t="shared" si="94"/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7">
        <f t="shared" si="29"/>
        <v>0</v>
      </c>
      <c r="U126" s="8">
        <f t="shared" si="39"/>
        <v>0</v>
      </c>
      <c r="V126" s="8"/>
      <c r="Z126" s="10"/>
      <c r="AA126" s="8"/>
      <c r="AI126" s="8"/>
    </row>
    <row r="127" spans="2:35" ht="9.75" customHeight="1" x14ac:dyDescent="0.25">
      <c r="B127" s="64" t="s">
        <v>233</v>
      </c>
      <c r="C127" s="64" t="s">
        <v>234</v>
      </c>
      <c r="D127" s="64" t="s">
        <v>218</v>
      </c>
      <c r="E127" s="51">
        <f t="shared" si="92"/>
        <v>0</v>
      </c>
      <c r="F127" s="10">
        <f t="shared" si="93"/>
        <v>2282.4499999999998</v>
      </c>
      <c r="G127" s="10">
        <f t="shared" si="94"/>
        <v>2282.4499999999998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2282.4499999999998</v>
      </c>
      <c r="Q127" s="10">
        <v>0</v>
      </c>
      <c r="R127" s="10">
        <v>0</v>
      </c>
      <c r="S127" s="10">
        <v>0</v>
      </c>
      <c r="T127" s="7">
        <f t="shared" si="29"/>
        <v>2282.4499999999998</v>
      </c>
      <c r="U127" s="8">
        <f t="shared" si="39"/>
        <v>0</v>
      </c>
      <c r="V127" s="8"/>
      <c r="Z127" s="10"/>
      <c r="AA127" s="8"/>
      <c r="AI127" s="8">
        <f t="shared" si="95"/>
        <v>2282.4499999999998</v>
      </c>
    </row>
    <row r="128" spans="2:35" ht="9.75" customHeight="1" x14ac:dyDescent="0.25">
      <c r="B128" s="64" t="s">
        <v>235</v>
      </c>
      <c r="C128" s="64" t="s">
        <v>236</v>
      </c>
      <c r="D128" s="64"/>
      <c r="F128" s="10"/>
      <c r="G128" s="10">
        <f t="shared" si="94"/>
        <v>21150</v>
      </c>
      <c r="H128" s="10">
        <v>7140</v>
      </c>
      <c r="I128" s="10">
        <v>0</v>
      </c>
      <c r="J128" s="10">
        <v>0</v>
      </c>
      <c r="K128" s="10">
        <v>0</v>
      </c>
      <c r="L128" s="10">
        <v>14010</v>
      </c>
      <c r="M128" s="10">
        <v>0</v>
      </c>
      <c r="N128" s="10">
        <v>0</v>
      </c>
      <c r="O128" s="10">
        <v>0</v>
      </c>
      <c r="P128" s="10"/>
      <c r="Q128" s="10"/>
      <c r="R128" s="10"/>
      <c r="S128" s="10"/>
      <c r="T128" s="7">
        <f t="shared" si="29"/>
        <v>21150</v>
      </c>
      <c r="U128" s="8">
        <f t="shared" si="39"/>
        <v>0</v>
      </c>
      <c r="V128" s="8"/>
      <c r="Z128" s="10"/>
      <c r="AA128" s="8"/>
      <c r="AI128" s="8"/>
    </row>
    <row r="129" spans="2:35" ht="9.75" customHeight="1" x14ac:dyDescent="0.25">
      <c r="B129" s="64" t="s">
        <v>237</v>
      </c>
      <c r="C129" s="64" t="s">
        <v>238</v>
      </c>
      <c r="D129" s="64" t="s">
        <v>218</v>
      </c>
      <c r="E129" s="51">
        <f t="shared" si="92"/>
        <v>0</v>
      </c>
      <c r="F129" s="10">
        <f t="shared" si="93"/>
        <v>0</v>
      </c>
      <c r="G129" s="10">
        <f t="shared" si="94"/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7">
        <f t="shared" ref="T129:T204" si="96">SUM(H129:S129)</f>
        <v>0</v>
      </c>
      <c r="U129" s="8">
        <f t="shared" si="39"/>
        <v>0</v>
      </c>
      <c r="V129" s="8"/>
      <c r="Z129" s="10"/>
      <c r="AA129" s="8"/>
      <c r="AI129" s="8">
        <f t="shared" si="95"/>
        <v>0</v>
      </c>
    </row>
    <row r="130" spans="2:35" ht="9.75" customHeight="1" x14ac:dyDescent="0.25">
      <c r="B130" s="64" t="s">
        <v>239</v>
      </c>
      <c r="C130" s="64" t="s">
        <v>240</v>
      </c>
      <c r="D130" s="64" t="s">
        <v>218</v>
      </c>
      <c r="E130" s="51">
        <f t="shared" si="92"/>
        <v>0</v>
      </c>
      <c r="F130" s="10">
        <f t="shared" si="93"/>
        <v>4978.3999999999996</v>
      </c>
      <c r="G130" s="10">
        <f t="shared" si="94"/>
        <v>4978.3999999999996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4978.3999999999996</v>
      </c>
      <c r="Q130" s="65">
        <v>0</v>
      </c>
      <c r="R130" s="65">
        <v>0</v>
      </c>
      <c r="S130" s="65">
        <v>0</v>
      </c>
      <c r="T130" s="7">
        <f t="shared" si="96"/>
        <v>4978.3999999999996</v>
      </c>
      <c r="U130" s="8">
        <f t="shared" si="39"/>
        <v>0</v>
      </c>
      <c r="V130" s="8"/>
      <c r="Z130" s="10"/>
      <c r="AA130" s="8"/>
      <c r="AI130" s="8"/>
    </row>
    <row r="131" spans="2:35" ht="16.5" customHeight="1" x14ac:dyDescent="0.25">
      <c r="B131" s="64" t="s">
        <v>241</v>
      </c>
      <c r="C131" s="64" t="s">
        <v>242</v>
      </c>
      <c r="D131" s="64" t="s">
        <v>218</v>
      </c>
      <c r="E131" s="51">
        <f t="shared" si="92"/>
        <v>0</v>
      </c>
      <c r="F131" s="10">
        <f t="shared" si="93"/>
        <v>184361.27</v>
      </c>
      <c r="G131" s="10">
        <f t="shared" si="94"/>
        <v>184361.27</v>
      </c>
      <c r="H131" s="10">
        <v>43184.77</v>
      </c>
      <c r="I131" s="10">
        <v>8944</v>
      </c>
      <c r="J131" s="10">
        <v>23247.5</v>
      </c>
      <c r="K131" s="10">
        <v>20873</v>
      </c>
      <c r="L131" s="10">
        <v>24797</v>
      </c>
      <c r="M131" s="10">
        <v>21483</v>
      </c>
      <c r="N131" s="10">
        <v>0</v>
      </c>
      <c r="O131" s="10">
        <f>251+41581</f>
        <v>41832</v>
      </c>
      <c r="P131" s="10">
        <v>0</v>
      </c>
      <c r="Q131" s="10">
        <v>0</v>
      </c>
      <c r="R131" s="10">
        <v>0</v>
      </c>
      <c r="S131" s="10">
        <v>0</v>
      </c>
      <c r="T131" s="7">
        <f t="shared" si="96"/>
        <v>184361.27</v>
      </c>
      <c r="U131" s="8">
        <f t="shared" si="39"/>
        <v>0</v>
      </c>
      <c r="V131" s="8"/>
      <c r="Z131" s="10"/>
      <c r="AA131" s="8"/>
      <c r="AI131" s="8"/>
    </row>
    <row r="132" spans="2:35" ht="9.75" customHeight="1" x14ac:dyDescent="0.25">
      <c r="B132" s="64" t="s">
        <v>243</v>
      </c>
      <c r="C132" s="64" t="s">
        <v>244</v>
      </c>
      <c r="D132" s="64" t="s">
        <v>218</v>
      </c>
      <c r="E132" s="51">
        <f t="shared" si="92"/>
        <v>0</v>
      </c>
      <c r="F132" s="10">
        <f t="shared" si="93"/>
        <v>319</v>
      </c>
      <c r="G132" s="10">
        <f t="shared" si="94"/>
        <v>319</v>
      </c>
      <c r="H132" s="10">
        <v>0</v>
      </c>
      <c r="I132" s="10">
        <v>0</v>
      </c>
      <c r="J132" s="10">
        <v>319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7">
        <f t="shared" si="96"/>
        <v>319</v>
      </c>
      <c r="U132" s="8">
        <f t="shared" si="39"/>
        <v>0</v>
      </c>
      <c r="V132" s="8"/>
      <c r="Z132" s="10">
        <v>17601.8</v>
      </c>
      <c r="AA132" s="8">
        <f t="shared" ref="AA132:AA261" si="97">+Z132-G132</f>
        <v>17282.8</v>
      </c>
      <c r="AI132" s="8">
        <f t="shared" si="95"/>
        <v>319</v>
      </c>
    </row>
    <row r="133" spans="2:35" ht="9.75" customHeight="1" x14ac:dyDescent="0.25">
      <c r="B133" s="64" t="s">
        <v>245</v>
      </c>
      <c r="C133" s="64" t="s">
        <v>246</v>
      </c>
      <c r="D133" s="64" t="s">
        <v>218</v>
      </c>
      <c r="E133" s="51">
        <f t="shared" si="92"/>
        <v>0</v>
      </c>
      <c r="F133" s="10">
        <f t="shared" si="93"/>
        <v>131.24</v>
      </c>
      <c r="G133" s="10">
        <f t="shared" si="94"/>
        <v>131.24</v>
      </c>
      <c r="H133" s="10">
        <v>0</v>
      </c>
      <c r="I133" s="10">
        <v>0</v>
      </c>
      <c r="J133" s="10">
        <v>131.24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7">
        <f t="shared" si="96"/>
        <v>131.24</v>
      </c>
      <c r="U133" s="8">
        <f t="shared" si="39"/>
        <v>0</v>
      </c>
      <c r="V133" s="8"/>
      <c r="Z133" s="10"/>
      <c r="AA133" s="8"/>
      <c r="AI133" s="8">
        <f t="shared" si="95"/>
        <v>131.24</v>
      </c>
    </row>
    <row r="134" spans="2:35" ht="9.75" customHeight="1" x14ac:dyDescent="0.25">
      <c r="B134" s="64" t="s">
        <v>247</v>
      </c>
      <c r="C134" s="64" t="s">
        <v>248</v>
      </c>
      <c r="D134" s="64" t="s">
        <v>218</v>
      </c>
      <c r="E134" s="51">
        <f t="shared" si="92"/>
        <v>0</v>
      </c>
      <c r="F134" s="10">
        <f t="shared" si="93"/>
        <v>246.64</v>
      </c>
      <c r="G134" s="10">
        <f t="shared" si="94"/>
        <v>246.64</v>
      </c>
      <c r="H134" s="10">
        <v>0</v>
      </c>
      <c r="I134" s="10">
        <v>123.32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123.32</v>
      </c>
      <c r="P134" s="10">
        <v>0</v>
      </c>
      <c r="Q134" s="10">
        <v>0</v>
      </c>
      <c r="R134" s="10">
        <v>0</v>
      </c>
      <c r="S134" s="10">
        <v>0</v>
      </c>
      <c r="T134" s="7">
        <f t="shared" si="96"/>
        <v>246.64</v>
      </c>
      <c r="U134" s="8">
        <f t="shared" si="39"/>
        <v>0</v>
      </c>
      <c r="V134" s="8"/>
      <c r="Z134" s="10"/>
      <c r="AA134" s="8"/>
      <c r="AI134" s="8"/>
    </row>
    <row r="135" spans="2:35" ht="9.75" customHeight="1" x14ac:dyDescent="0.25">
      <c r="B135" s="64" t="s">
        <v>249</v>
      </c>
      <c r="C135" s="64" t="s">
        <v>250</v>
      </c>
      <c r="D135" s="64" t="s">
        <v>218</v>
      </c>
      <c r="E135" s="51">
        <f t="shared" si="92"/>
        <v>0</v>
      </c>
      <c r="F135" s="10">
        <f t="shared" si="93"/>
        <v>4776.4899999999989</v>
      </c>
      <c r="G135" s="10">
        <f t="shared" si="94"/>
        <v>4776.4899999999989</v>
      </c>
      <c r="H135" s="10">
        <v>1107.3699999999999</v>
      </c>
      <c r="I135" s="10">
        <v>416.32</v>
      </c>
      <c r="J135" s="10">
        <v>312.24</v>
      </c>
      <c r="K135" s="10">
        <v>624.48</v>
      </c>
      <c r="L135" s="10">
        <v>312.24</v>
      </c>
      <c r="M135" s="10">
        <v>832.64</v>
      </c>
      <c r="N135" s="10">
        <v>0</v>
      </c>
      <c r="O135" s="10">
        <v>312.24</v>
      </c>
      <c r="P135" s="10">
        <v>0</v>
      </c>
      <c r="Q135" s="10">
        <v>286.32</v>
      </c>
      <c r="R135" s="10">
        <v>286.32</v>
      </c>
      <c r="S135" s="10">
        <v>286.32</v>
      </c>
      <c r="T135" s="7">
        <f t="shared" si="96"/>
        <v>4776.4899999999989</v>
      </c>
      <c r="U135" s="8">
        <f t="shared" si="39"/>
        <v>0</v>
      </c>
      <c r="V135" s="8"/>
      <c r="Z135" s="10"/>
      <c r="AA135" s="8"/>
      <c r="AI135" s="8">
        <f t="shared" si="95"/>
        <v>4776.4899999999989</v>
      </c>
    </row>
    <row r="136" spans="2:35" ht="9.75" customHeight="1" x14ac:dyDescent="0.25">
      <c r="B136" s="64" t="s">
        <v>251</v>
      </c>
      <c r="C136" s="64" t="s">
        <v>252</v>
      </c>
      <c r="D136" s="64" t="s">
        <v>218</v>
      </c>
      <c r="E136" s="51">
        <f t="shared" si="92"/>
        <v>0</v>
      </c>
      <c r="F136" s="10">
        <f t="shared" si="93"/>
        <v>0</v>
      </c>
      <c r="G136" s="10">
        <f t="shared" si="94"/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7">
        <f t="shared" si="96"/>
        <v>0</v>
      </c>
      <c r="U136" s="8">
        <f t="shared" si="39"/>
        <v>0</v>
      </c>
      <c r="V136" s="8"/>
      <c r="Z136" s="10"/>
      <c r="AA136" s="8"/>
      <c r="AI136" s="8"/>
    </row>
    <row r="137" spans="2:35" ht="9.75" customHeight="1" x14ac:dyDescent="0.25">
      <c r="B137" s="64" t="s">
        <v>253</v>
      </c>
      <c r="C137" s="64" t="s">
        <v>254</v>
      </c>
      <c r="D137" s="64" t="s">
        <v>218</v>
      </c>
      <c r="E137" s="51">
        <f t="shared" si="92"/>
        <v>0</v>
      </c>
      <c r="F137" s="10">
        <f t="shared" si="93"/>
        <v>63.35</v>
      </c>
      <c r="G137" s="10">
        <f t="shared" si="94"/>
        <v>63.35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63.35</v>
      </c>
      <c r="P137" s="10">
        <v>0</v>
      </c>
      <c r="Q137" s="10">
        <v>0</v>
      </c>
      <c r="R137" s="10">
        <v>0</v>
      </c>
      <c r="S137" s="10">
        <v>0</v>
      </c>
      <c r="T137" s="7">
        <f t="shared" si="96"/>
        <v>63.35</v>
      </c>
      <c r="U137" s="8">
        <f t="shared" si="39"/>
        <v>0</v>
      </c>
      <c r="V137" s="8"/>
      <c r="Z137" s="10"/>
      <c r="AA137" s="8"/>
      <c r="AI137" s="8">
        <f t="shared" si="95"/>
        <v>63.35</v>
      </c>
    </row>
    <row r="138" spans="2:35" ht="9.75" customHeight="1" x14ac:dyDescent="0.25">
      <c r="B138" s="64" t="s">
        <v>255</v>
      </c>
      <c r="C138" s="64" t="s">
        <v>256</v>
      </c>
      <c r="D138" s="64" t="s">
        <v>218</v>
      </c>
      <c r="E138" s="51">
        <f t="shared" si="92"/>
        <v>0</v>
      </c>
      <c r="F138" s="10">
        <f t="shared" si="93"/>
        <v>4373.3599999999997</v>
      </c>
      <c r="G138" s="10">
        <f t="shared" si="94"/>
        <v>4373.3599999999997</v>
      </c>
      <c r="H138" s="10">
        <v>881.51</v>
      </c>
      <c r="I138" s="10">
        <v>644.88</v>
      </c>
      <c r="J138" s="10">
        <v>226.28</v>
      </c>
      <c r="K138" s="10">
        <v>881.34</v>
      </c>
      <c r="L138" s="10">
        <v>349.6</v>
      </c>
      <c r="M138" s="10">
        <v>1051.05</v>
      </c>
      <c r="N138" s="10">
        <v>0</v>
      </c>
      <c r="O138" s="10">
        <v>0</v>
      </c>
      <c r="P138" s="10">
        <v>338.7</v>
      </c>
      <c r="Q138" s="10">
        <v>0</v>
      </c>
      <c r="R138" s="10">
        <v>0</v>
      </c>
      <c r="S138" s="10">
        <v>0</v>
      </c>
      <c r="T138" s="7">
        <f t="shared" si="96"/>
        <v>4373.3599999999997</v>
      </c>
      <c r="U138" s="8">
        <f t="shared" si="39"/>
        <v>0</v>
      </c>
      <c r="V138" s="8"/>
      <c r="Z138" s="10"/>
      <c r="AA138" s="8"/>
      <c r="AI138" s="8">
        <f t="shared" si="95"/>
        <v>4373.3599999999997</v>
      </c>
    </row>
    <row r="139" spans="2:35" ht="9.75" customHeight="1" x14ac:dyDescent="0.25">
      <c r="B139" s="64" t="s">
        <v>257</v>
      </c>
      <c r="C139" s="64" t="s">
        <v>258</v>
      </c>
      <c r="D139" s="64"/>
      <c r="F139" s="10"/>
      <c r="G139" s="10">
        <f t="shared" si="94"/>
        <v>339.42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  <c r="M139" s="10">
        <v>0</v>
      </c>
      <c r="N139" s="10">
        <v>169.71</v>
      </c>
      <c r="O139" s="10">
        <v>169.71</v>
      </c>
      <c r="P139" s="10">
        <v>0</v>
      </c>
      <c r="Q139" s="10">
        <v>0</v>
      </c>
      <c r="R139" s="10"/>
      <c r="S139" s="10"/>
      <c r="T139" s="7"/>
      <c r="U139" s="8"/>
      <c r="V139" s="8"/>
      <c r="Z139" s="10"/>
      <c r="AA139" s="8"/>
      <c r="AI139" s="8"/>
    </row>
    <row r="140" spans="2:35" ht="9.75" customHeight="1" x14ac:dyDescent="0.25">
      <c r="B140" s="64" t="s">
        <v>259</v>
      </c>
      <c r="C140" s="64" t="s">
        <v>260</v>
      </c>
      <c r="D140" s="64" t="s">
        <v>218</v>
      </c>
      <c r="E140" s="51">
        <f t="shared" si="92"/>
        <v>0</v>
      </c>
      <c r="F140" s="10">
        <f t="shared" si="93"/>
        <v>0</v>
      </c>
      <c r="G140" s="10">
        <f t="shared" si="94"/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/>
      <c r="O140" s="10"/>
      <c r="P140" s="10">
        <v>0</v>
      </c>
      <c r="Q140" s="10">
        <v>0</v>
      </c>
      <c r="R140" s="10">
        <v>0</v>
      </c>
      <c r="S140" s="10">
        <v>0</v>
      </c>
      <c r="T140" s="7">
        <f t="shared" si="96"/>
        <v>0</v>
      </c>
      <c r="U140" s="8">
        <f t="shared" si="39"/>
        <v>0</v>
      </c>
      <c r="V140" s="8"/>
      <c r="Z140" s="10"/>
      <c r="AA140" s="8"/>
      <c r="AI140" s="8">
        <f t="shared" si="95"/>
        <v>0</v>
      </c>
    </row>
    <row r="141" spans="2:35" ht="13.2" x14ac:dyDescent="0.25">
      <c r="B141" s="62" t="s">
        <v>261</v>
      </c>
      <c r="C141" s="72" t="s">
        <v>262</v>
      </c>
      <c r="D141" s="72"/>
      <c r="E141" s="51">
        <f t="shared" ref="E141:E144" si="98">SUM(H141:S141)-G141</f>
        <v>0</v>
      </c>
      <c r="F141" s="10"/>
      <c r="G141" s="63">
        <f>+G142+G143</f>
        <v>9529.5400000000009</v>
      </c>
      <c r="H141" s="63">
        <f t="shared" ref="H141:S141" si="99">+H142+H143</f>
        <v>660</v>
      </c>
      <c r="I141" s="63">
        <f t="shared" si="99"/>
        <v>5933</v>
      </c>
      <c r="J141" s="63">
        <f t="shared" si="99"/>
        <v>0</v>
      </c>
      <c r="K141" s="63">
        <f t="shared" si="99"/>
        <v>0</v>
      </c>
      <c r="L141" s="63">
        <f t="shared" si="99"/>
        <v>0</v>
      </c>
      <c r="M141" s="63">
        <f t="shared" si="99"/>
        <v>0</v>
      </c>
      <c r="N141" s="63">
        <f t="shared" si="99"/>
        <v>0</v>
      </c>
      <c r="O141" s="63">
        <f t="shared" si="99"/>
        <v>2936.54</v>
      </c>
      <c r="P141" s="63">
        <f t="shared" si="99"/>
        <v>0</v>
      </c>
      <c r="Q141" s="63">
        <f t="shared" si="99"/>
        <v>0</v>
      </c>
      <c r="R141" s="63">
        <f t="shared" si="99"/>
        <v>0</v>
      </c>
      <c r="S141" s="63">
        <f t="shared" si="99"/>
        <v>0</v>
      </c>
      <c r="T141" s="7">
        <f t="shared" si="96"/>
        <v>9529.5400000000009</v>
      </c>
      <c r="U141" s="8">
        <f t="shared" si="39"/>
        <v>0</v>
      </c>
      <c r="V141" s="8"/>
      <c r="Z141" s="63"/>
      <c r="AA141" s="8"/>
      <c r="AI141" s="8"/>
    </row>
    <row r="142" spans="2:35" ht="9.75" customHeight="1" x14ac:dyDescent="0.25">
      <c r="B142" s="64" t="s">
        <v>263</v>
      </c>
      <c r="C142" s="64" t="s">
        <v>264</v>
      </c>
      <c r="D142" s="64" t="s">
        <v>218</v>
      </c>
      <c r="E142" s="51">
        <f t="shared" si="92"/>
        <v>0</v>
      </c>
      <c r="F142" s="10">
        <f t="shared" si="93"/>
        <v>2476.54</v>
      </c>
      <c r="G142" s="10">
        <f>SUM(H142:S142)</f>
        <v>2476.54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65">
        <v>0</v>
      </c>
      <c r="O142" s="65">
        <v>2476.54</v>
      </c>
      <c r="P142" s="65">
        <v>0</v>
      </c>
      <c r="Q142" s="10">
        <v>0</v>
      </c>
      <c r="R142" s="10">
        <v>0</v>
      </c>
      <c r="S142" s="10">
        <v>0</v>
      </c>
      <c r="T142" s="7">
        <f t="shared" si="96"/>
        <v>2476.54</v>
      </c>
      <c r="U142" s="8">
        <f t="shared" si="39"/>
        <v>0</v>
      </c>
      <c r="V142" s="8"/>
      <c r="Z142" s="10"/>
      <c r="AA142" s="8"/>
      <c r="AI142" s="8">
        <f>+G142</f>
        <v>2476.54</v>
      </c>
    </row>
    <row r="143" spans="2:35" ht="9.75" customHeight="1" x14ac:dyDescent="0.25">
      <c r="B143" s="64" t="s">
        <v>265</v>
      </c>
      <c r="C143" s="64" t="s">
        <v>266</v>
      </c>
      <c r="D143" s="64"/>
      <c r="F143" s="10"/>
      <c r="G143" s="10">
        <f>SUM(H143:S143)</f>
        <v>7053</v>
      </c>
      <c r="H143" s="10">
        <v>660</v>
      </c>
      <c r="I143" s="10">
        <v>5933</v>
      </c>
      <c r="J143" s="10">
        <v>0</v>
      </c>
      <c r="K143" s="10">
        <v>0</v>
      </c>
      <c r="L143" s="10">
        <v>0</v>
      </c>
      <c r="M143" s="10">
        <v>0</v>
      </c>
      <c r="N143" s="65">
        <v>0</v>
      </c>
      <c r="O143" s="65">
        <v>460</v>
      </c>
      <c r="P143" s="65">
        <v>0</v>
      </c>
      <c r="Q143" s="10">
        <v>0</v>
      </c>
      <c r="R143" s="10">
        <v>0</v>
      </c>
      <c r="S143" s="10">
        <v>0</v>
      </c>
      <c r="T143" s="7">
        <f t="shared" si="96"/>
        <v>7053</v>
      </c>
      <c r="U143" s="8">
        <f t="shared" si="39"/>
        <v>0</v>
      </c>
      <c r="V143" s="8"/>
      <c r="Z143" s="10"/>
      <c r="AA143" s="8"/>
      <c r="AI143" s="8"/>
    </row>
    <row r="144" spans="2:35" ht="13.2" x14ac:dyDescent="0.25">
      <c r="B144" s="62" t="s">
        <v>267</v>
      </c>
      <c r="C144" s="72" t="s">
        <v>268</v>
      </c>
      <c r="D144" s="62"/>
      <c r="E144" s="51">
        <f t="shared" si="98"/>
        <v>0</v>
      </c>
      <c r="F144" s="10"/>
      <c r="G144" s="63">
        <f>+G145+G146</f>
        <v>900</v>
      </c>
      <c r="H144" s="63">
        <f t="shared" ref="H144:S144" si="100">+H145+H146</f>
        <v>0</v>
      </c>
      <c r="I144" s="63">
        <f t="shared" si="100"/>
        <v>0</v>
      </c>
      <c r="J144" s="63">
        <f t="shared" si="100"/>
        <v>0</v>
      </c>
      <c r="K144" s="63">
        <f t="shared" si="100"/>
        <v>0</v>
      </c>
      <c r="L144" s="63">
        <f t="shared" si="100"/>
        <v>0</v>
      </c>
      <c r="M144" s="63">
        <f t="shared" si="100"/>
        <v>0</v>
      </c>
      <c r="N144" s="63">
        <f t="shared" si="100"/>
        <v>0</v>
      </c>
      <c r="O144" s="63">
        <f t="shared" si="100"/>
        <v>0</v>
      </c>
      <c r="P144" s="63">
        <f t="shared" si="100"/>
        <v>0</v>
      </c>
      <c r="Q144" s="63">
        <f t="shared" si="100"/>
        <v>300</v>
      </c>
      <c r="R144" s="63">
        <f t="shared" si="100"/>
        <v>300</v>
      </c>
      <c r="S144" s="63">
        <f t="shared" si="100"/>
        <v>300</v>
      </c>
      <c r="T144" s="7">
        <f t="shared" si="96"/>
        <v>900</v>
      </c>
      <c r="U144" s="8">
        <f t="shared" si="39"/>
        <v>0</v>
      </c>
      <c r="V144" s="8"/>
      <c r="Z144" s="63"/>
      <c r="AA144" s="8"/>
      <c r="AI144" s="8"/>
    </row>
    <row r="145" spans="2:35" ht="9.75" customHeight="1" x14ac:dyDescent="0.25">
      <c r="B145" s="67" t="s">
        <v>269</v>
      </c>
      <c r="C145" s="67" t="s">
        <v>270</v>
      </c>
      <c r="D145" s="64" t="s">
        <v>218</v>
      </c>
      <c r="E145" s="51">
        <f t="shared" si="92"/>
        <v>0</v>
      </c>
      <c r="F145" s="10">
        <f t="shared" si="93"/>
        <v>0</v>
      </c>
      <c r="G145" s="10">
        <f>SUM(H145:S145)</f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7">
        <f t="shared" si="96"/>
        <v>0</v>
      </c>
      <c r="U145" s="8">
        <f t="shared" ref="U145:U220" si="101">+T145-G145</f>
        <v>0</v>
      </c>
      <c r="V145" s="8"/>
      <c r="Z145" s="10">
        <v>1522.94</v>
      </c>
      <c r="AA145" s="8">
        <f t="shared" si="97"/>
        <v>1522.94</v>
      </c>
      <c r="AI145" s="8">
        <f>+G145</f>
        <v>0</v>
      </c>
    </row>
    <row r="146" spans="2:35" ht="9.75" customHeight="1" x14ac:dyDescent="0.25">
      <c r="B146" s="67" t="s">
        <v>271</v>
      </c>
      <c r="C146" s="67" t="s">
        <v>272</v>
      </c>
      <c r="D146" s="64" t="s">
        <v>218</v>
      </c>
      <c r="E146" s="51">
        <f t="shared" si="92"/>
        <v>0</v>
      </c>
      <c r="F146" s="10">
        <f t="shared" si="93"/>
        <v>900</v>
      </c>
      <c r="G146" s="10">
        <f>SUM(H146:S146)</f>
        <v>900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300</v>
      </c>
      <c r="R146" s="10">
        <v>300</v>
      </c>
      <c r="S146" s="10">
        <v>300</v>
      </c>
      <c r="T146" s="7">
        <f t="shared" si="96"/>
        <v>900</v>
      </c>
      <c r="U146" s="8">
        <f t="shared" si="101"/>
        <v>0</v>
      </c>
      <c r="V146" s="8"/>
      <c r="Z146" s="10"/>
      <c r="AA146" s="8"/>
      <c r="AI146" s="8"/>
    </row>
    <row r="147" spans="2:35" ht="10.199999999999999" x14ac:dyDescent="0.25">
      <c r="B147" s="62" t="s">
        <v>273</v>
      </c>
      <c r="C147" s="72" t="s">
        <v>274</v>
      </c>
      <c r="D147" s="62"/>
      <c r="E147" s="51">
        <f t="shared" ref="E147" si="102">SUM(H147:S147)-G147</f>
        <v>0</v>
      </c>
      <c r="F147" s="10"/>
      <c r="G147" s="63">
        <f>SUM(G148:G150)</f>
        <v>4699.32</v>
      </c>
      <c r="H147" s="63">
        <f t="shared" ref="H147:S147" si="103">SUM(H148:H150)</f>
        <v>4699.32</v>
      </c>
      <c r="I147" s="63">
        <f t="shared" si="103"/>
        <v>0</v>
      </c>
      <c r="J147" s="63">
        <f t="shared" si="103"/>
        <v>0</v>
      </c>
      <c r="K147" s="63">
        <f t="shared" si="103"/>
        <v>0</v>
      </c>
      <c r="L147" s="63">
        <f t="shared" si="103"/>
        <v>0</v>
      </c>
      <c r="M147" s="63">
        <f t="shared" si="103"/>
        <v>0</v>
      </c>
      <c r="N147" s="63">
        <f t="shared" si="103"/>
        <v>0</v>
      </c>
      <c r="O147" s="63">
        <f t="shared" si="103"/>
        <v>0</v>
      </c>
      <c r="P147" s="63">
        <f t="shared" si="103"/>
        <v>0</v>
      </c>
      <c r="Q147" s="63">
        <f t="shared" si="103"/>
        <v>0</v>
      </c>
      <c r="R147" s="63">
        <f t="shared" si="103"/>
        <v>0</v>
      </c>
      <c r="S147" s="63">
        <f t="shared" si="103"/>
        <v>0</v>
      </c>
      <c r="T147" s="7">
        <f t="shared" si="96"/>
        <v>4699.32</v>
      </c>
      <c r="U147" s="8">
        <f t="shared" si="101"/>
        <v>0</v>
      </c>
      <c r="V147" s="8"/>
      <c r="Z147" s="63"/>
      <c r="AA147" s="8"/>
      <c r="AI147" s="8"/>
    </row>
    <row r="148" spans="2:35" ht="28.5" customHeight="1" x14ac:dyDescent="0.25">
      <c r="B148" s="64" t="s">
        <v>275</v>
      </c>
      <c r="C148" s="74" t="s">
        <v>276</v>
      </c>
      <c r="D148" s="64" t="s">
        <v>218</v>
      </c>
      <c r="E148" s="51">
        <f t="shared" ref="E148:E150" si="104">+F148-G148</f>
        <v>0</v>
      </c>
      <c r="F148" s="10">
        <f t="shared" ref="F148:F150" si="105">+G148</f>
        <v>2662.8</v>
      </c>
      <c r="G148" s="10">
        <f>SUM(H148:S148)</f>
        <v>2662.8</v>
      </c>
      <c r="H148" s="10">
        <v>2662.8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7">
        <f t="shared" si="96"/>
        <v>2662.8</v>
      </c>
      <c r="U148" s="8">
        <f t="shared" si="101"/>
        <v>0</v>
      </c>
      <c r="V148" s="8"/>
      <c r="Z148" s="10">
        <v>1522.94</v>
      </c>
      <c r="AA148" s="8">
        <f t="shared" ref="AA148" si="106">+Z148-G148</f>
        <v>-1139.8600000000001</v>
      </c>
      <c r="AI148" s="8">
        <f>+G148</f>
        <v>2662.8</v>
      </c>
    </row>
    <row r="149" spans="2:35" ht="28.5" customHeight="1" x14ac:dyDescent="0.25">
      <c r="B149" s="64" t="s">
        <v>277</v>
      </c>
      <c r="C149" s="74" t="s">
        <v>278</v>
      </c>
      <c r="D149" s="64" t="s">
        <v>218</v>
      </c>
      <c r="E149" s="51">
        <f t="shared" si="104"/>
        <v>0</v>
      </c>
      <c r="F149" s="10">
        <f t="shared" si="105"/>
        <v>339.42</v>
      </c>
      <c r="G149" s="10">
        <f>SUM(H149:S149)</f>
        <v>339.42</v>
      </c>
      <c r="H149" s="10">
        <v>339.42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7">
        <f t="shared" si="96"/>
        <v>339.42</v>
      </c>
      <c r="U149" s="8">
        <f t="shared" si="101"/>
        <v>0</v>
      </c>
      <c r="V149" s="8"/>
      <c r="Z149" s="10"/>
      <c r="AA149" s="8"/>
      <c r="AI149" s="8"/>
    </row>
    <row r="150" spans="2:35" ht="28.5" customHeight="1" x14ac:dyDescent="0.25">
      <c r="B150" s="64" t="s">
        <v>279</v>
      </c>
      <c r="C150" s="74" t="s">
        <v>280</v>
      </c>
      <c r="D150" s="64" t="s">
        <v>218</v>
      </c>
      <c r="E150" s="51">
        <f t="shared" si="104"/>
        <v>0</v>
      </c>
      <c r="F150" s="10">
        <f t="shared" si="105"/>
        <v>1697.1</v>
      </c>
      <c r="G150" s="10">
        <f>SUM(H150:S150)</f>
        <v>1697.1</v>
      </c>
      <c r="H150" s="10">
        <v>1697.1</v>
      </c>
      <c r="I150" s="10">
        <v>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7">
        <f t="shared" si="96"/>
        <v>1697.1</v>
      </c>
      <c r="U150" s="8">
        <f t="shared" si="101"/>
        <v>0</v>
      </c>
      <c r="V150" s="8"/>
      <c r="Z150" s="10"/>
      <c r="AA150" s="8"/>
      <c r="AI150" s="8"/>
    </row>
    <row r="151" spans="2:35" ht="9.75" customHeight="1" x14ac:dyDescent="0.25">
      <c r="B151" s="62" t="s">
        <v>281</v>
      </c>
      <c r="C151" s="62" t="s">
        <v>282</v>
      </c>
      <c r="D151" s="62"/>
      <c r="E151" s="51">
        <f t="shared" ref="E151:E152" si="107">SUM(H151:S151)-G151</f>
        <v>0</v>
      </c>
      <c r="F151" s="10"/>
      <c r="G151" s="63">
        <f t="shared" ref="G151:S151" si="108">+G152+G160+G165+G167+G158</f>
        <v>177835.17</v>
      </c>
      <c r="H151" s="63">
        <f t="shared" si="108"/>
        <v>97323.58</v>
      </c>
      <c r="I151" s="63">
        <f t="shared" si="108"/>
        <v>9856.43</v>
      </c>
      <c r="J151" s="63">
        <f t="shared" si="108"/>
        <v>12559.650000000001</v>
      </c>
      <c r="K151" s="63">
        <f t="shared" si="108"/>
        <v>12913.34</v>
      </c>
      <c r="L151" s="63">
        <f t="shared" si="108"/>
        <v>4395.46</v>
      </c>
      <c r="M151" s="63">
        <f t="shared" si="108"/>
        <v>13930.129999999997</v>
      </c>
      <c r="N151" s="63">
        <f t="shared" si="108"/>
        <v>5138.76</v>
      </c>
      <c r="O151" s="63">
        <f t="shared" si="108"/>
        <v>4509.13</v>
      </c>
      <c r="P151" s="63">
        <f t="shared" si="108"/>
        <v>4418.8099999999995</v>
      </c>
      <c r="Q151" s="63">
        <f t="shared" si="108"/>
        <v>5470.16</v>
      </c>
      <c r="R151" s="63">
        <f t="shared" si="108"/>
        <v>3659.86</v>
      </c>
      <c r="S151" s="63">
        <f t="shared" si="108"/>
        <v>3659.86</v>
      </c>
      <c r="T151" s="7">
        <f t="shared" si="96"/>
        <v>177835.16999999998</v>
      </c>
      <c r="U151" s="8">
        <f t="shared" si="101"/>
        <v>0</v>
      </c>
      <c r="V151" s="8"/>
      <c r="Z151" s="63"/>
      <c r="AA151" s="8"/>
      <c r="AI151" s="8"/>
    </row>
    <row r="152" spans="2:35" ht="9.75" customHeight="1" x14ac:dyDescent="0.25">
      <c r="B152" s="62" t="s">
        <v>283</v>
      </c>
      <c r="C152" s="62" t="s">
        <v>284</v>
      </c>
      <c r="D152" s="62"/>
      <c r="E152" s="51">
        <f t="shared" si="107"/>
        <v>0</v>
      </c>
      <c r="F152" s="10"/>
      <c r="G152" s="63">
        <f>+G153+G154+G155+G156+G157</f>
        <v>15387.56</v>
      </c>
      <c r="H152" s="63">
        <f t="shared" ref="H152:S152" si="109">+H153+H154+H155+H156+H157</f>
        <v>5926.7999999999993</v>
      </c>
      <c r="I152" s="63">
        <f t="shared" si="109"/>
        <v>480.84000000000003</v>
      </c>
      <c r="J152" s="63">
        <f t="shared" si="109"/>
        <v>546.46</v>
      </c>
      <c r="K152" s="63">
        <f t="shared" si="109"/>
        <v>3383.98</v>
      </c>
      <c r="L152" s="63">
        <f t="shared" si="109"/>
        <v>262.48</v>
      </c>
      <c r="M152" s="63">
        <f t="shared" si="109"/>
        <v>2090.81</v>
      </c>
      <c r="N152" s="63">
        <f t="shared" si="109"/>
        <v>1149.48</v>
      </c>
      <c r="O152" s="63">
        <f t="shared" si="109"/>
        <v>389.19000000000005</v>
      </c>
      <c r="P152" s="63">
        <f t="shared" si="109"/>
        <v>251.88</v>
      </c>
      <c r="Q152" s="63">
        <f t="shared" si="109"/>
        <v>301.88</v>
      </c>
      <c r="R152" s="63">
        <f t="shared" si="109"/>
        <v>301.88</v>
      </c>
      <c r="S152" s="63">
        <f t="shared" si="109"/>
        <v>301.88</v>
      </c>
      <c r="T152" s="7">
        <f t="shared" si="96"/>
        <v>15387.559999999996</v>
      </c>
      <c r="U152" s="8">
        <f t="shared" si="101"/>
        <v>0</v>
      </c>
      <c r="V152" s="8"/>
      <c r="Z152" s="63"/>
      <c r="AA152" s="8"/>
      <c r="AI152" s="8"/>
    </row>
    <row r="153" spans="2:35" ht="9.75" customHeight="1" x14ac:dyDescent="0.25">
      <c r="B153" s="62" t="s">
        <v>285</v>
      </c>
      <c r="C153" s="64" t="s">
        <v>284</v>
      </c>
      <c r="D153" s="64" t="s">
        <v>132</v>
      </c>
      <c r="E153" s="51">
        <f t="shared" si="92"/>
        <v>0</v>
      </c>
      <c r="F153" s="10">
        <f t="shared" si="93"/>
        <v>3537.9500000000007</v>
      </c>
      <c r="G153" s="10">
        <f>SUM(H153:S153)</f>
        <v>3537.9500000000007</v>
      </c>
      <c r="H153" s="10">
        <v>440.79</v>
      </c>
      <c r="I153" s="10">
        <v>196.86</v>
      </c>
      <c r="J153" s="10">
        <v>262.48</v>
      </c>
      <c r="K153" s="10">
        <v>383.52</v>
      </c>
      <c r="L153" s="10">
        <v>262.48</v>
      </c>
      <c r="M153" s="10">
        <v>590.58000000000004</v>
      </c>
      <c r="N153" s="10">
        <v>196.86</v>
      </c>
      <c r="O153" s="10">
        <v>196.86</v>
      </c>
      <c r="P153" s="10">
        <v>251.88</v>
      </c>
      <c r="Q153" s="10">
        <v>251.88</v>
      </c>
      <c r="R153" s="10">
        <v>251.88</v>
      </c>
      <c r="S153" s="10">
        <v>251.88</v>
      </c>
      <c r="T153" s="7">
        <f t="shared" si="96"/>
        <v>3537.9500000000007</v>
      </c>
      <c r="U153" s="8">
        <f t="shared" si="101"/>
        <v>0</v>
      </c>
      <c r="V153" s="8"/>
      <c r="Z153" s="10"/>
      <c r="AA153" s="8"/>
      <c r="AI153" s="8">
        <f>+G153</f>
        <v>3537.9500000000007</v>
      </c>
    </row>
    <row r="154" spans="2:35" ht="9.75" customHeight="1" x14ac:dyDescent="0.25">
      <c r="B154" s="62" t="s">
        <v>286</v>
      </c>
      <c r="C154" s="64" t="s">
        <v>287</v>
      </c>
      <c r="D154" s="64" t="s">
        <v>132</v>
      </c>
      <c r="E154" s="51">
        <f t="shared" si="92"/>
        <v>0</v>
      </c>
      <c r="F154" s="10">
        <f t="shared" si="93"/>
        <v>8601.2099999999991</v>
      </c>
      <c r="G154" s="10">
        <f>SUM(H154:S154)</f>
        <v>8601.2099999999991</v>
      </c>
      <c r="H154" s="10">
        <v>4668.4799999999996</v>
      </c>
      <c r="I154" s="10">
        <v>0</v>
      </c>
      <c r="J154" s="10">
        <v>0</v>
      </c>
      <c r="K154" s="10">
        <v>2432.5</v>
      </c>
      <c r="L154" s="10">
        <v>0</v>
      </c>
      <c r="M154" s="10">
        <v>1500.23</v>
      </c>
      <c r="N154" s="10"/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7">
        <f t="shared" si="96"/>
        <v>8601.2099999999991</v>
      </c>
      <c r="U154" s="8">
        <f t="shared" si="101"/>
        <v>0</v>
      </c>
      <c r="V154" s="8"/>
      <c r="Z154" s="10"/>
      <c r="AA154" s="8"/>
      <c r="AI154" s="8"/>
    </row>
    <row r="155" spans="2:35" ht="9.75" customHeight="1" x14ac:dyDescent="0.25">
      <c r="B155" s="62" t="s">
        <v>288</v>
      </c>
      <c r="C155" s="64" t="s">
        <v>289</v>
      </c>
      <c r="D155" s="64" t="s">
        <v>132</v>
      </c>
      <c r="E155" s="51">
        <f t="shared" si="92"/>
        <v>0</v>
      </c>
      <c r="F155" s="10">
        <f t="shared" si="93"/>
        <v>2521.41</v>
      </c>
      <c r="G155" s="10">
        <f t="shared" ref="G155:G157" si="110">SUM(H155:S155)</f>
        <v>2521.41</v>
      </c>
      <c r="H155" s="10">
        <v>817.53</v>
      </c>
      <c r="I155" s="10">
        <v>283.98</v>
      </c>
      <c r="J155" s="10">
        <v>283.98</v>
      </c>
      <c r="K155" s="10">
        <v>567.96</v>
      </c>
      <c r="L155" s="10">
        <v>0</v>
      </c>
      <c r="M155" s="10">
        <v>0</v>
      </c>
      <c r="N155" s="10">
        <v>567.96</v>
      </c>
      <c r="O155" s="10">
        <v>0</v>
      </c>
      <c r="P155" s="10">
        <v>0</v>
      </c>
      <c r="Q155" s="10">
        <v>0</v>
      </c>
      <c r="R155" s="10">
        <v>0</v>
      </c>
      <c r="S155" s="10">
        <v>0</v>
      </c>
      <c r="T155" s="7">
        <f t="shared" si="96"/>
        <v>2521.41</v>
      </c>
      <c r="U155" s="8">
        <f t="shared" si="101"/>
        <v>0</v>
      </c>
      <c r="V155" s="8"/>
      <c r="Z155" s="10"/>
      <c r="AA155" s="8"/>
      <c r="AI155" s="8"/>
    </row>
    <row r="156" spans="2:35" ht="9.75" customHeight="1" x14ac:dyDescent="0.25">
      <c r="B156" s="62" t="s">
        <v>290</v>
      </c>
      <c r="C156" s="64" t="s">
        <v>291</v>
      </c>
      <c r="D156" s="64" t="s">
        <v>132</v>
      </c>
      <c r="E156" s="51">
        <f t="shared" si="92"/>
        <v>0</v>
      </c>
      <c r="F156" s="10">
        <f t="shared" si="93"/>
        <v>150</v>
      </c>
      <c r="G156" s="10">
        <f t="shared" si="110"/>
        <v>150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50</v>
      </c>
      <c r="R156" s="10">
        <v>50</v>
      </c>
      <c r="S156" s="10">
        <v>50</v>
      </c>
      <c r="T156" s="7">
        <f t="shared" si="96"/>
        <v>150</v>
      </c>
      <c r="U156" s="8">
        <f t="shared" si="101"/>
        <v>0</v>
      </c>
      <c r="V156" s="8"/>
      <c r="Z156" s="10"/>
      <c r="AA156" s="8"/>
      <c r="AI156" s="8"/>
    </row>
    <row r="157" spans="2:35" ht="9.75" customHeight="1" x14ac:dyDescent="0.25">
      <c r="B157" s="62" t="s">
        <v>292</v>
      </c>
      <c r="C157" s="64" t="s">
        <v>293</v>
      </c>
      <c r="D157" s="64"/>
      <c r="F157" s="10"/>
      <c r="G157" s="10">
        <f t="shared" si="110"/>
        <v>576.99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384.66</v>
      </c>
      <c r="O157" s="10">
        <v>192.33</v>
      </c>
      <c r="P157" s="10">
        <v>0</v>
      </c>
      <c r="Q157" s="10">
        <v>0</v>
      </c>
      <c r="R157" s="10">
        <v>0</v>
      </c>
      <c r="S157" s="10">
        <v>0</v>
      </c>
      <c r="T157" s="7"/>
      <c r="U157" s="8"/>
      <c r="V157" s="8"/>
      <c r="Z157" s="10"/>
      <c r="AA157" s="8"/>
      <c r="AI157" s="8"/>
    </row>
    <row r="158" spans="2:35" ht="9.75" customHeight="1" x14ac:dyDescent="0.25">
      <c r="B158" s="62" t="s">
        <v>294</v>
      </c>
      <c r="C158" s="62" t="s">
        <v>295</v>
      </c>
      <c r="D158" s="62"/>
      <c r="E158" s="51">
        <f t="shared" ref="E158:E160" si="111">SUM(H158:S158)-G158</f>
        <v>0</v>
      </c>
      <c r="F158" s="10"/>
      <c r="G158" s="63">
        <f>+G159</f>
        <v>3628.64</v>
      </c>
      <c r="H158" s="63">
        <f t="shared" ref="H158:S158" si="112">+H159</f>
        <v>1415.72</v>
      </c>
      <c r="I158" s="63">
        <f t="shared" si="112"/>
        <v>184.41</v>
      </c>
      <c r="J158" s="63">
        <f t="shared" si="112"/>
        <v>184.41</v>
      </c>
      <c r="K158" s="63">
        <f t="shared" si="112"/>
        <v>368.82</v>
      </c>
      <c r="L158" s="63">
        <f t="shared" si="112"/>
        <v>184.41</v>
      </c>
      <c r="M158" s="63">
        <f t="shared" si="112"/>
        <v>737.64</v>
      </c>
      <c r="N158" s="63">
        <f t="shared" si="112"/>
        <v>368.82</v>
      </c>
      <c r="O158" s="63">
        <f t="shared" si="112"/>
        <v>184.41</v>
      </c>
      <c r="P158" s="63">
        <f t="shared" si="112"/>
        <v>0</v>
      </c>
      <c r="Q158" s="63">
        <f t="shared" si="112"/>
        <v>0</v>
      </c>
      <c r="R158" s="63">
        <f t="shared" si="112"/>
        <v>0</v>
      </c>
      <c r="S158" s="63">
        <f t="shared" si="112"/>
        <v>0</v>
      </c>
      <c r="T158" s="7">
        <f t="shared" si="96"/>
        <v>3628.64</v>
      </c>
      <c r="U158" s="8">
        <f t="shared" si="101"/>
        <v>0</v>
      </c>
      <c r="V158" s="8"/>
      <c r="Z158" s="10"/>
      <c r="AA158" s="8"/>
      <c r="AI158" s="8"/>
    </row>
    <row r="159" spans="2:35" ht="12.75" customHeight="1" x14ac:dyDescent="0.25">
      <c r="B159" s="64" t="s">
        <v>296</v>
      </c>
      <c r="C159" s="64" t="s">
        <v>297</v>
      </c>
      <c r="D159" s="64" t="s">
        <v>132</v>
      </c>
      <c r="E159" s="51">
        <f t="shared" si="92"/>
        <v>0</v>
      </c>
      <c r="F159" s="10">
        <f>+G159</f>
        <v>3628.64</v>
      </c>
      <c r="G159" s="10">
        <f t="shared" ref="G159" si="113">SUM(H159:S159)</f>
        <v>3628.64</v>
      </c>
      <c r="H159" s="10">
        <v>1415.72</v>
      </c>
      <c r="I159" s="10">
        <v>184.41</v>
      </c>
      <c r="J159" s="10">
        <v>184.41</v>
      </c>
      <c r="K159" s="10">
        <v>368.82</v>
      </c>
      <c r="L159" s="10">
        <v>184.41</v>
      </c>
      <c r="M159" s="10">
        <v>737.64</v>
      </c>
      <c r="N159" s="10">
        <v>368.82</v>
      </c>
      <c r="O159" s="10">
        <v>184.41</v>
      </c>
      <c r="P159" s="10">
        <v>0</v>
      </c>
      <c r="Q159" s="10">
        <v>0</v>
      </c>
      <c r="R159" s="10">
        <v>0</v>
      </c>
      <c r="S159" s="10">
        <v>0</v>
      </c>
      <c r="T159" s="7">
        <f t="shared" si="96"/>
        <v>3628.64</v>
      </c>
      <c r="U159" s="8">
        <f t="shared" si="101"/>
        <v>0</v>
      </c>
      <c r="V159" s="8"/>
      <c r="Z159" s="10"/>
      <c r="AA159" s="8"/>
      <c r="AI159" s="8"/>
    </row>
    <row r="160" spans="2:35" ht="11.25" customHeight="1" x14ac:dyDescent="0.25">
      <c r="B160" s="62" t="s">
        <v>298</v>
      </c>
      <c r="C160" s="62" t="s">
        <v>299</v>
      </c>
      <c r="D160" s="62"/>
      <c r="E160" s="51">
        <f t="shared" si="111"/>
        <v>0</v>
      </c>
      <c r="F160" s="10"/>
      <c r="G160" s="63">
        <f>SUM(G161:G164)</f>
        <v>128092.42000000001</v>
      </c>
      <c r="H160" s="63">
        <f t="shared" ref="H160:S160" si="114">SUM(H161:H164)</f>
        <v>87530.45</v>
      </c>
      <c r="I160" s="63">
        <f t="shared" si="114"/>
        <v>6620.6399999999994</v>
      </c>
      <c r="J160" s="63">
        <f t="shared" si="114"/>
        <v>9258.24</v>
      </c>
      <c r="K160" s="63">
        <f t="shared" si="114"/>
        <v>6590</v>
      </c>
      <c r="L160" s="63">
        <f t="shared" si="114"/>
        <v>1378.03</v>
      </c>
      <c r="M160" s="63">
        <f t="shared" si="114"/>
        <v>8531.14</v>
      </c>
      <c r="N160" s="63">
        <f t="shared" si="114"/>
        <v>1049.92</v>
      </c>
      <c r="O160" s="63">
        <f t="shared" si="114"/>
        <v>1364.99</v>
      </c>
      <c r="P160" s="63">
        <f t="shared" si="114"/>
        <v>1596.39</v>
      </c>
      <c r="Q160" s="63">
        <f t="shared" si="114"/>
        <v>2597.7400000000002</v>
      </c>
      <c r="R160" s="63">
        <f t="shared" si="114"/>
        <v>787.44</v>
      </c>
      <c r="S160" s="63">
        <f t="shared" si="114"/>
        <v>787.44</v>
      </c>
      <c r="T160" s="7">
        <f t="shared" si="96"/>
        <v>128092.42000000001</v>
      </c>
      <c r="U160" s="8">
        <f t="shared" si="101"/>
        <v>0</v>
      </c>
      <c r="V160" s="8"/>
      <c r="W160" s="63"/>
      <c r="X160" s="63"/>
      <c r="Y160" s="63"/>
      <c r="Z160" s="63"/>
      <c r="AA160" s="8"/>
      <c r="AB160" s="63"/>
      <c r="AC160" s="63"/>
      <c r="AD160" s="63"/>
      <c r="AE160" s="63"/>
      <c r="AF160" s="63"/>
      <c r="AH160" s="68"/>
      <c r="AI160" s="8"/>
    </row>
    <row r="161" spans="2:35" ht="9.75" customHeight="1" x14ac:dyDescent="0.25">
      <c r="B161" s="67" t="s">
        <v>300</v>
      </c>
      <c r="C161" s="67" t="s">
        <v>301</v>
      </c>
      <c r="D161" s="64" t="s">
        <v>132</v>
      </c>
      <c r="E161" s="51">
        <f t="shared" si="92"/>
        <v>0</v>
      </c>
      <c r="F161" s="10">
        <f t="shared" si="93"/>
        <v>94302.280000000013</v>
      </c>
      <c r="G161" s="10">
        <f>SUM(H161:S161)</f>
        <v>94302.280000000013</v>
      </c>
      <c r="H161" s="10">
        <v>73697.600000000006</v>
      </c>
      <c r="I161" s="10">
        <v>5512.08</v>
      </c>
      <c r="J161" s="10">
        <v>5380.84</v>
      </c>
      <c r="K161" s="10">
        <v>2624.8</v>
      </c>
      <c r="L161" s="10">
        <v>393.72</v>
      </c>
      <c r="M161" s="10">
        <v>1706.12</v>
      </c>
      <c r="N161" s="10">
        <v>1049.92</v>
      </c>
      <c r="O161" s="10">
        <v>787.44</v>
      </c>
      <c r="P161" s="10">
        <v>787.44</v>
      </c>
      <c r="Q161" s="10">
        <v>787.44</v>
      </c>
      <c r="R161" s="10">
        <v>787.44</v>
      </c>
      <c r="S161" s="10">
        <v>787.44</v>
      </c>
      <c r="T161" s="7">
        <f t="shared" si="96"/>
        <v>94302.280000000013</v>
      </c>
      <c r="U161" s="8">
        <f t="shared" si="101"/>
        <v>0</v>
      </c>
      <c r="V161" s="8"/>
      <c r="Z161" s="10"/>
      <c r="AA161" s="8"/>
      <c r="AI161" s="8">
        <f>+G161</f>
        <v>94302.280000000013</v>
      </c>
    </row>
    <row r="162" spans="2:35" ht="12" customHeight="1" x14ac:dyDescent="0.25">
      <c r="B162" s="67" t="s">
        <v>302</v>
      </c>
      <c r="C162" s="67" t="s">
        <v>303</v>
      </c>
      <c r="D162" s="64" t="s">
        <v>132</v>
      </c>
      <c r="E162" s="51">
        <f t="shared" si="92"/>
        <v>0</v>
      </c>
      <c r="F162" s="10">
        <f t="shared" si="93"/>
        <v>5196.2299999999996</v>
      </c>
      <c r="G162" s="10">
        <f>SUM(H162:S162)</f>
        <v>5196.2299999999996</v>
      </c>
      <c r="H162" s="10">
        <v>274.68</v>
      </c>
      <c r="I162" s="10">
        <v>0</v>
      </c>
      <c r="J162" s="10">
        <v>0</v>
      </c>
      <c r="K162" s="10">
        <v>0</v>
      </c>
      <c r="L162" s="10">
        <v>984.31</v>
      </c>
      <c r="M162" s="10">
        <v>3937.24</v>
      </c>
      <c r="N162" s="10"/>
      <c r="O162" s="10"/>
      <c r="P162" s="10">
        <v>0</v>
      </c>
      <c r="Q162" s="10">
        <v>0</v>
      </c>
      <c r="R162" s="10">
        <v>0</v>
      </c>
      <c r="S162" s="10">
        <v>0</v>
      </c>
      <c r="T162" s="7">
        <f t="shared" si="96"/>
        <v>5196.2299999999996</v>
      </c>
      <c r="U162" s="8">
        <f t="shared" si="101"/>
        <v>0</v>
      </c>
      <c r="V162" s="8"/>
      <c r="Z162" s="10"/>
      <c r="AA162" s="8"/>
      <c r="AI162" s="8">
        <f>+G162</f>
        <v>5196.2299999999996</v>
      </c>
    </row>
    <row r="163" spans="2:35" ht="9.75" customHeight="1" x14ac:dyDescent="0.25">
      <c r="B163" s="67" t="s">
        <v>304</v>
      </c>
      <c r="C163" s="67" t="s">
        <v>305</v>
      </c>
      <c r="D163" s="64" t="s">
        <v>132</v>
      </c>
      <c r="E163" s="51">
        <f t="shared" si="92"/>
        <v>0</v>
      </c>
      <c r="F163" s="10">
        <f t="shared" si="93"/>
        <v>28593.91</v>
      </c>
      <c r="G163" s="10">
        <f>SUM(H163:S163)</f>
        <v>28593.91</v>
      </c>
      <c r="H163" s="10">
        <v>13558.17</v>
      </c>
      <c r="I163" s="10">
        <v>1108.56</v>
      </c>
      <c r="J163" s="10">
        <v>3877.4</v>
      </c>
      <c r="K163" s="10">
        <v>3965.2</v>
      </c>
      <c r="L163" s="10">
        <v>0</v>
      </c>
      <c r="M163" s="10">
        <v>2887.78</v>
      </c>
      <c r="N163" s="10"/>
      <c r="O163" s="10">
        <f>104.35+104.35+111.62+120.34+136.89</f>
        <v>577.54999999999995</v>
      </c>
      <c r="P163" s="10">
        <v>808.95</v>
      </c>
      <c r="Q163" s="10">
        <f>521.75+313.05+208.7+208.7+558.1</f>
        <v>1810.3000000000002</v>
      </c>
      <c r="R163" s="10">
        <v>0</v>
      </c>
      <c r="S163" s="10">
        <v>0</v>
      </c>
      <c r="T163" s="7">
        <f t="shared" si="96"/>
        <v>28593.91</v>
      </c>
      <c r="U163" s="8">
        <f t="shared" si="101"/>
        <v>0</v>
      </c>
      <c r="V163" s="8"/>
      <c r="Z163" s="10"/>
      <c r="AA163" s="8"/>
      <c r="AI163" s="8"/>
    </row>
    <row r="164" spans="2:35" ht="9.75" customHeight="1" x14ac:dyDescent="0.25">
      <c r="B164" s="64" t="s">
        <v>306</v>
      </c>
      <c r="C164" s="64" t="s">
        <v>307</v>
      </c>
      <c r="D164" s="64" t="s">
        <v>132</v>
      </c>
      <c r="E164" s="51">
        <f t="shared" si="92"/>
        <v>0</v>
      </c>
      <c r="F164" s="10">
        <f t="shared" si="93"/>
        <v>0</v>
      </c>
      <c r="G164" s="10">
        <f t="shared" ref="G164" si="115">SUM(H164:S164)</f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/>
      <c r="O164" s="10"/>
      <c r="P164" s="10">
        <v>0</v>
      </c>
      <c r="Q164" s="10">
        <v>0</v>
      </c>
      <c r="R164" s="10">
        <v>0</v>
      </c>
      <c r="S164" s="10">
        <v>0</v>
      </c>
      <c r="T164" s="7">
        <f t="shared" si="96"/>
        <v>0</v>
      </c>
      <c r="U164" s="8">
        <f t="shared" si="101"/>
        <v>0</v>
      </c>
      <c r="V164" s="8"/>
      <c r="Z164" s="10"/>
      <c r="AA164" s="8"/>
      <c r="AI164" s="8"/>
    </row>
    <row r="165" spans="2:35" ht="9.75" customHeight="1" x14ac:dyDescent="0.25">
      <c r="B165" s="62" t="s">
        <v>308</v>
      </c>
      <c r="C165" s="62" t="s">
        <v>309</v>
      </c>
      <c r="D165" s="62"/>
      <c r="E165" s="51">
        <f t="shared" ref="E165:E174" si="116">SUM(H165:S165)-G165</f>
        <v>0</v>
      </c>
      <c r="F165" s="10"/>
      <c r="G165" s="63">
        <f>+G166</f>
        <v>0</v>
      </c>
      <c r="H165" s="63">
        <f t="shared" ref="H165:S165" si="117">+H166</f>
        <v>0</v>
      </c>
      <c r="I165" s="63">
        <f t="shared" si="117"/>
        <v>0</v>
      </c>
      <c r="J165" s="63">
        <f t="shared" si="117"/>
        <v>0</v>
      </c>
      <c r="K165" s="63">
        <f t="shared" si="117"/>
        <v>0</v>
      </c>
      <c r="L165" s="63">
        <f t="shared" si="117"/>
        <v>0</v>
      </c>
      <c r="M165" s="63">
        <f t="shared" si="117"/>
        <v>0</v>
      </c>
      <c r="N165" s="63">
        <f t="shared" si="117"/>
        <v>0</v>
      </c>
      <c r="O165" s="63">
        <f t="shared" si="117"/>
        <v>0</v>
      </c>
      <c r="P165" s="63">
        <f t="shared" si="117"/>
        <v>0</v>
      </c>
      <c r="Q165" s="63">
        <f t="shared" si="117"/>
        <v>0</v>
      </c>
      <c r="R165" s="63">
        <f t="shared" si="117"/>
        <v>0</v>
      </c>
      <c r="S165" s="63">
        <f t="shared" si="117"/>
        <v>0</v>
      </c>
      <c r="T165" s="7">
        <f t="shared" si="96"/>
        <v>0</v>
      </c>
      <c r="U165" s="8">
        <f t="shared" si="101"/>
        <v>0</v>
      </c>
      <c r="V165" s="8"/>
      <c r="Z165" s="63"/>
      <c r="AA165" s="8"/>
      <c r="AI165" s="8"/>
    </row>
    <row r="166" spans="2:35" ht="15.75" customHeight="1" x14ac:dyDescent="0.25">
      <c r="B166" s="64" t="s">
        <v>310</v>
      </c>
      <c r="C166" s="64" t="s">
        <v>311</v>
      </c>
      <c r="D166" s="64" t="s">
        <v>132</v>
      </c>
      <c r="E166" s="51">
        <f t="shared" si="92"/>
        <v>0</v>
      </c>
      <c r="F166" s="10">
        <f t="shared" si="93"/>
        <v>0</v>
      </c>
      <c r="G166" s="10">
        <f>SUM(H166:S166)</f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/>
      <c r="O166" s="10">
        <v>0</v>
      </c>
      <c r="P166" s="10">
        <v>0</v>
      </c>
      <c r="Q166" s="10">
        <v>0</v>
      </c>
      <c r="R166" s="10">
        <v>0</v>
      </c>
      <c r="S166" s="10">
        <v>0</v>
      </c>
      <c r="T166" s="7">
        <f t="shared" si="96"/>
        <v>0</v>
      </c>
      <c r="U166" s="8">
        <f t="shared" si="101"/>
        <v>0</v>
      </c>
      <c r="V166" s="8"/>
      <c r="Z166" s="10"/>
      <c r="AA166" s="8"/>
      <c r="AI166" s="8">
        <f>+G166</f>
        <v>0</v>
      </c>
    </row>
    <row r="167" spans="2:35" ht="35.25" customHeight="1" x14ac:dyDescent="0.25">
      <c r="B167" s="62" t="s">
        <v>312</v>
      </c>
      <c r="C167" s="72" t="s">
        <v>313</v>
      </c>
      <c r="D167" s="62"/>
      <c r="E167" s="51">
        <f t="shared" si="116"/>
        <v>0</v>
      </c>
      <c r="F167" s="10">
        <v>0</v>
      </c>
      <c r="G167" s="63">
        <f>SUM(G168:G173)</f>
        <v>30726.55</v>
      </c>
      <c r="H167" s="63">
        <f t="shared" ref="H167:S167" si="118">SUM(H168:H173)</f>
        <v>2450.61</v>
      </c>
      <c r="I167" s="63">
        <f t="shared" si="118"/>
        <v>2570.54</v>
      </c>
      <c r="J167" s="63">
        <f t="shared" si="118"/>
        <v>2570.54</v>
      </c>
      <c r="K167" s="63">
        <f t="shared" si="118"/>
        <v>2570.54</v>
      </c>
      <c r="L167" s="63">
        <f t="shared" si="118"/>
        <v>2570.54</v>
      </c>
      <c r="M167" s="63">
        <f t="shared" si="118"/>
        <v>2570.54</v>
      </c>
      <c r="N167" s="63">
        <f t="shared" si="118"/>
        <v>2570.54</v>
      </c>
      <c r="O167" s="63">
        <f t="shared" si="118"/>
        <v>2570.54</v>
      </c>
      <c r="P167" s="63">
        <f t="shared" si="118"/>
        <v>2570.54</v>
      </c>
      <c r="Q167" s="63">
        <f t="shared" si="118"/>
        <v>2570.54</v>
      </c>
      <c r="R167" s="63">
        <f t="shared" si="118"/>
        <v>2570.54</v>
      </c>
      <c r="S167" s="63">
        <f t="shared" si="118"/>
        <v>2570.54</v>
      </c>
      <c r="T167" s="7">
        <f t="shared" si="96"/>
        <v>30726.550000000007</v>
      </c>
      <c r="U167" s="8">
        <f t="shared" si="101"/>
        <v>0</v>
      </c>
      <c r="V167" s="8"/>
      <c r="Z167" s="10"/>
      <c r="AA167" s="8"/>
      <c r="AI167" s="8"/>
    </row>
    <row r="168" spans="2:35" ht="13.2" x14ac:dyDescent="0.25">
      <c r="B168" s="64" t="s">
        <v>314</v>
      </c>
      <c r="C168" s="75" t="s">
        <v>315</v>
      </c>
      <c r="D168" s="64" t="s">
        <v>132</v>
      </c>
      <c r="E168" s="51">
        <f t="shared" si="92"/>
        <v>0</v>
      </c>
      <c r="F168" s="10">
        <f>+G168</f>
        <v>8146.0800000000008</v>
      </c>
      <c r="G168" s="10">
        <f>SUM(H168:S168)</f>
        <v>8146.0800000000008</v>
      </c>
      <c r="H168" s="10">
        <v>678.84</v>
      </c>
      <c r="I168" s="10">
        <v>678.84</v>
      </c>
      <c r="J168" s="10">
        <v>678.84</v>
      </c>
      <c r="K168" s="10">
        <v>678.84</v>
      </c>
      <c r="L168" s="10">
        <v>678.84</v>
      </c>
      <c r="M168" s="10">
        <v>678.84</v>
      </c>
      <c r="N168" s="10">
        <v>678.84</v>
      </c>
      <c r="O168" s="10">
        <v>678.84</v>
      </c>
      <c r="P168" s="10">
        <v>678.84</v>
      </c>
      <c r="Q168" s="10">
        <v>678.84</v>
      </c>
      <c r="R168" s="10">
        <v>678.84</v>
      </c>
      <c r="S168" s="10">
        <v>678.84</v>
      </c>
      <c r="T168" s="7">
        <f t="shared" si="96"/>
        <v>8146.0800000000008</v>
      </c>
      <c r="U168" s="8">
        <f t="shared" si="101"/>
        <v>0</v>
      </c>
      <c r="V168" s="8"/>
      <c r="Z168" s="10"/>
      <c r="AA168" s="8"/>
      <c r="AI168" s="8"/>
    </row>
    <row r="169" spans="2:35" ht="13.2" x14ac:dyDescent="0.25">
      <c r="B169" s="64" t="s">
        <v>316</v>
      </c>
      <c r="C169" s="75" t="s">
        <v>317</v>
      </c>
      <c r="D169" s="64"/>
      <c r="F169" s="10">
        <f t="shared" ref="F169:F227" si="119">+G169</f>
        <v>16563.719999999998</v>
      </c>
      <c r="G169" s="10">
        <f t="shared" ref="G169:G173" si="120">SUM(H169:S169)</f>
        <v>16563.719999999998</v>
      </c>
      <c r="H169" s="10">
        <v>1380.31</v>
      </c>
      <c r="I169" s="10">
        <v>1380.31</v>
      </c>
      <c r="J169" s="10">
        <v>1380.31</v>
      </c>
      <c r="K169" s="10">
        <v>1380.31</v>
      </c>
      <c r="L169" s="10">
        <v>1380.31</v>
      </c>
      <c r="M169" s="10">
        <v>1380.31</v>
      </c>
      <c r="N169" s="10">
        <v>1380.31</v>
      </c>
      <c r="O169" s="10">
        <v>1380.31</v>
      </c>
      <c r="P169" s="10">
        <v>1380.31</v>
      </c>
      <c r="Q169" s="10">
        <v>1380.31</v>
      </c>
      <c r="R169" s="10">
        <v>1380.31</v>
      </c>
      <c r="S169" s="10">
        <v>1380.31</v>
      </c>
      <c r="T169" s="7"/>
      <c r="U169" s="8"/>
      <c r="V169" s="8"/>
      <c r="Z169" s="10"/>
      <c r="AA169" s="8"/>
      <c r="AI169" s="8"/>
    </row>
    <row r="170" spans="2:35" ht="13.2" x14ac:dyDescent="0.25">
      <c r="B170" s="64" t="s">
        <v>318</v>
      </c>
      <c r="C170" s="75" t="s">
        <v>319</v>
      </c>
      <c r="D170" s="64"/>
      <c r="F170" s="10">
        <f t="shared" si="119"/>
        <v>2131.5600000000004</v>
      </c>
      <c r="G170" s="10">
        <f t="shared" si="120"/>
        <v>2131.5600000000004</v>
      </c>
      <c r="H170" s="10">
        <v>177.63</v>
      </c>
      <c r="I170" s="10">
        <v>177.63</v>
      </c>
      <c r="J170" s="10">
        <v>177.63</v>
      </c>
      <c r="K170" s="10">
        <v>177.63</v>
      </c>
      <c r="L170" s="10">
        <v>177.63</v>
      </c>
      <c r="M170" s="10">
        <v>177.63</v>
      </c>
      <c r="N170" s="10">
        <v>177.63</v>
      </c>
      <c r="O170" s="10">
        <v>177.63</v>
      </c>
      <c r="P170" s="10">
        <v>177.63</v>
      </c>
      <c r="Q170" s="10">
        <v>177.63</v>
      </c>
      <c r="R170" s="10">
        <v>177.63</v>
      </c>
      <c r="S170" s="10">
        <v>177.63</v>
      </c>
      <c r="T170" s="7"/>
      <c r="U170" s="8"/>
      <c r="V170" s="8"/>
      <c r="Z170" s="10"/>
      <c r="AA170" s="8"/>
      <c r="AI170" s="8"/>
    </row>
    <row r="171" spans="2:35" ht="13.2" x14ac:dyDescent="0.25">
      <c r="B171" s="64" t="s">
        <v>320</v>
      </c>
      <c r="C171" s="75" t="s">
        <v>321</v>
      </c>
      <c r="D171" s="64"/>
      <c r="F171" s="10">
        <f t="shared" si="119"/>
        <v>1319.2300000000005</v>
      </c>
      <c r="G171" s="10">
        <f t="shared" si="120"/>
        <v>1319.2300000000005</v>
      </c>
      <c r="H171" s="10">
        <v>0</v>
      </c>
      <c r="I171" s="10">
        <v>119.93</v>
      </c>
      <c r="J171" s="10">
        <v>119.93</v>
      </c>
      <c r="K171" s="10">
        <v>119.93</v>
      </c>
      <c r="L171" s="10">
        <v>119.93</v>
      </c>
      <c r="M171" s="10">
        <v>119.93</v>
      </c>
      <c r="N171" s="10">
        <v>119.93</v>
      </c>
      <c r="O171" s="10">
        <v>119.93</v>
      </c>
      <c r="P171" s="10">
        <v>119.93</v>
      </c>
      <c r="Q171" s="10">
        <v>119.93</v>
      </c>
      <c r="R171" s="10">
        <v>119.93</v>
      </c>
      <c r="S171" s="10">
        <v>119.93</v>
      </c>
      <c r="T171" s="7"/>
      <c r="U171" s="8"/>
      <c r="V171" s="8"/>
      <c r="Z171" s="10"/>
      <c r="AA171" s="8"/>
      <c r="AI171" s="8"/>
    </row>
    <row r="172" spans="2:35" ht="13.2" x14ac:dyDescent="0.25">
      <c r="B172" s="64" t="s">
        <v>322</v>
      </c>
      <c r="C172" s="75" t="s">
        <v>323</v>
      </c>
      <c r="D172" s="64"/>
      <c r="F172" s="10">
        <f t="shared" si="119"/>
        <v>2063.64</v>
      </c>
      <c r="G172" s="10">
        <f t="shared" si="120"/>
        <v>2063.64</v>
      </c>
      <c r="H172" s="10">
        <v>171.97</v>
      </c>
      <c r="I172" s="10">
        <v>171.97</v>
      </c>
      <c r="J172" s="10">
        <v>171.97</v>
      </c>
      <c r="K172" s="10">
        <v>171.97</v>
      </c>
      <c r="L172" s="10">
        <v>171.97</v>
      </c>
      <c r="M172" s="10">
        <v>171.97</v>
      </c>
      <c r="N172" s="10">
        <v>171.97</v>
      </c>
      <c r="O172" s="10">
        <v>171.97</v>
      </c>
      <c r="P172" s="10">
        <v>171.97</v>
      </c>
      <c r="Q172" s="10">
        <v>171.97</v>
      </c>
      <c r="R172" s="10">
        <v>171.97</v>
      </c>
      <c r="S172" s="10">
        <v>171.97</v>
      </c>
      <c r="T172" s="7"/>
      <c r="U172" s="8"/>
      <c r="V172" s="8"/>
      <c r="Z172" s="10"/>
      <c r="AA172" s="8"/>
      <c r="AI172" s="8"/>
    </row>
    <row r="173" spans="2:35" ht="13.2" x14ac:dyDescent="0.25">
      <c r="B173" s="64" t="s">
        <v>324</v>
      </c>
      <c r="C173" s="75" t="s">
        <v>325</v>
      </c>
      <c r="D173" s="64"/>
      <c r="F173" s="10">
        <f t="shared" si="119"/>
        <v>502.32000000000011</v>
      </c>
      <c r="G173" s="10">
        <f t="shared" si="120"/>
        <v>502.32000000000011</v>
      </c>
      <c r="H173" s="10">
        <v>41.86</v>
      </c>
      <c r="I173" s="10">
        <v>41.86</v>
      </c>
      <c r="J173" s="10">
        <v>41.86</v>
      </c>
      <c r="K173" s="10">
        <v>41.86</v>
      </c>
      <c r="L173" s="10">
        <v>41.86</v>
      </c>
      <c r="M173" s="10">
        <v>41.86</v>
      </c>
      <c r="N173" s="10">
        <v>41.86</v>
      </c>
      <c r="O173" s="10">
        <v>41.86</v>
      </c>
      <c r="P173" s="10">
        <v>41.86</v>
      </c>
      <c r="Q173" s="10">
        <v>41.86</v>
      </c>
      <c r="R173" s="10">
        <v>41.86</v>
      </c>
      <c r="S173" s="10">
        <v>41.86</v>
      </c>
      <c r="T173" s="7"/>
      <c r="U173" s="8"/>
      <c r="V173" s="8"/>
      <c r="Z173" s="10"/>
      <c r="AA173" s="8"/>
      <c r="AI173" s="8"/>
    </row>
    <row r="174" spans="2:35" ht="13.2" x14ac:dyDescent="0.25">
      <c r="B174" s="62" t="s">
        <v>326</v>
      </c>
      <c r="C174" s="72" t="s">
        <v>327</v>
      </c>
      <c r="D174" s="72"/>
      <c r="E174" s="51">
        <f t="shared" si="116"/>
        <v>0</v>
      </c>
      <c r="F174" s="10"/>
      <c r="G174" s="63">
        <f t="shared" ref="G174:S174" si="121">SUM(G175:G227)</f>
        <v>1359417.9729999998</v>
      </c>
      <c r="H174" s="63">
        <f t="shared" si="121"/>
        <v>1035363.71</v>
      </c>
      <c r="I174" s="63">
        <f t="shared" si="121"/>
        <v>82206.460000000021</v>
      </c>
      <c r="J174" s="63">
        <f t="shared" si="121"/>
        <v>51475.15</v>
      </c>
      <c r="K174" s="63">
        <f t="shared" si="121"/>
        <v>26718.67</v>
      </c>
      <c r="L174" s="63">
        <f t="shared" si="121"/>
        <v>40362.729999999996</v>
      </c>
      <c r="M174" s="63">
        <f t="shared" si="121"/>
        <v>12995.41</v>
      </c>
      <c r="N174" s="63">
        <f t="shared" si="121"/>
        <v>20567.41</v>
      </c>
      <c r="O174" s="63">
        <f t="shared" si="121"/>
        <v>19934.7</v>
      </c>
      <c r="P174" s="63">
        <f t="shared" si="121"/>
        <v>19505.72</v>
      </c>
      <c r="Q174" s="63">
        <f t="shared" si="121"/>
        <v>24953.620000000003</v>
      </c>
      <c r="R174" s="63">
        <f t="shared" si="121"/>
        <v>13813.060000000001</v>
      </c>
      <c r="S174" s="63">
        <f t="shared" si="121"/>
        <v>11521.333000000001</v>
      </c>
      <c r="T174" s="7">
        <f t="shared" si="96"/>
        <v>1359417.9729999998</v>
      </c>
      <c r="U174" s="8">
        <f t="shared" si="101"/>
        <v>0</v>
      </c>
      <c r="V174" s="8"/>
      <c r="Z174" s="63"/>
      <c r="AA174" s="8"/>
      <c r="AI174" s="8"/>
    </row>
    <row r="175" spans="2:35" ht="9.75" customHeight="1" x14ac:dyDescent="0.25">
      <c r="B175" s="67" t="s">
        <v>328</v>
      </c>
      <c r="C175" s="67" t="s">
        <v>329</v>
      </c>
      <c r="D175" s="76"/>
      <c r="E175" s="77"/>
      <c r="F175" s="10">
        <f t="shared" si="119"/>
        <v>599329.00999999989</v>
      </c>
      <c r="G175" s="10">
        <f t="shared" ref="G175:G227" si="122">SUM(H175:S175)</f>
        <v>599329.00999999989</v>
      </c>
      <c r="H175" s="10">
        <v>493119.48</v>
      </c>
      <c r="I175" s="10">
        <v>32441.72</v>
      </c>
      <c r="J175" s="10">
        <v>20507.73</v>
      </c>
      <c r="K175" s="10">
        <v>9612.36</v>
      </c>
      <c r="L175" s="10">
        <v>12816.48</v>
      </c>
      <c r="M175" s="10">
        <v>4005.15</v>
      </c>
      <c r="N175" s="10">
        <v>2736.85</v>
      </c>
      <c r="O175" s="10">
        <v>7209.24</v>
      </c>
      <c r="P175" s="10">
        <v>4220</v>
      </c>
      <c r="Q175" s="10">
        <v>4220</v>
      </c>
      <c r="R175" s="10">
        <v>4220</v>
      </c>
      <c r="S175" s="10">
        <v>4220</v>
      </c>
      <c r="T175" s="7">
        <f t="shared" si="96"/>
        <v>599329.00999999989</v>
      </c>
      <c r="U175" s="8">
        <f t="shared" si="101"/>
        <v>0</v>
      </c>
      <c r="V175" s="8"/>
      <c r="Z175" s="10"/>
      <c r="AA175" s="8"/>
      <c r="AI175" s="8">
        <f t="shared" ref="AI175:AI198" si="123">+G175</f>
        <v>599329.00999999989</v>
      </c>
    </row>
    <row r="176" spans="2:35" ht="9.75" customHeight="1" x14ac:dyDescent="0.25">
      <c r="B176" s="67" t="s">
        <v>330</v>
      </c>
      <c r="C176" s="67" t="s">
        <v>331</v>
      </c>
      <c r="D176" s="76"/>
      <c r="E176" s="77">
        <f>+L176*0.15</f>
        <v>142.55699999999999</v>
      </c>
      <c r="F176" s="10">
        <f t="shared" si="119"/>
        <v>96919.940000000031</v>
      </c>
      <c r="G176" s="10">
        <f t="shared" si="122"/>
        <v>96919.940000000031</v>
      </c>
      <c r="H176" s="10">
        <v>84881.8</v>
      </c>
      <c r="I176" s="10">
        <v>4751.8999999999996</v>
      </c>
      <c r="J176" s="10">
        <v>950.38</v>
      </c>
      <c r="K176" s="10">
        <v>0</v>
      </c>
      <c r="L176" s="10">
        <v>950.38</v>
      </c>
      <c r="M176" s="10">
        <v>950.38</v>
      </c>
      <c r="N176" s="10"/>
      <c r="O176" s="10">
        <v>1583.96</v>
      </c>
      <c r="P176" s="10">
        <v>950.38</v>
      </c>
      <c r="Q176" s="10">
        <v>950.38</v>
      </c>
      <c r="R176" s="10">
        <v>950.38</v>
      </c>
      <c r="S176" s="10">
        <v>0</v>
      </c>
      <c r="T176" s="7">
        <f t="shared" si="96"/>
        <v>96919.940000000031</v>
      </c>
      <c r="U176" s="8">
        <f t="shared" si="101"/>
        <v>0</v>
      </c>
      <c r="V176" s="8"/>
      <c r="Z176" s="10"/>
      <c r="AA176" s="8"/>
      <c r="AI176" s="8">
        <f t="shared" si="123"/>
        <v>96919.940000000031</v>
      </c>
    </row>
    <row r="177" spans="2:35" ht="9.75" customHeight="1" x14ac:dyDescent="0.25">
      <c r="B177" s="64" t="s">
        <v>332</v>
      </c>
      <c r="C177" s="64" t="s">
        <v>333</v>
      </c>
      <c r="D177" s="76"/>
      <c r="E177" s="77"/>
      <c r="F177" s="10">
        <f t="shared" si="119"/>
        <v>67.430999999999997</v>
      </c>
      <c r="G177" s="10">
        <f t="shared" si="122"/>
        <v>67.430999999999997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f t="shared" ref="S177" si="124">0.65*103.74</f>
        <v>67.430999999999997</v>
      </c>
      <c r="T177" s="7">
        <f t="shared" si="96"/>
        <v>67.430999999999997</v>
      </c>
      <c r="U177" s="8">
        <f t="shared" si="101"/>
        <v>0</v>
      </c>
      <c r="V177" s="8"/>
      <c r="Z177" s="10"/>
      <c r="AA177" s="8"/>
      <c r="AI177" s="8"/>
    </row>
    <row r="178" spans="2:35" ht="9.75" customHeight="1" x14ac:dyDescent="0.25">
      <c r="B178" s="64" t="s">
        <v>334</v>
      </c>
      <c r="C178" s="64" t="s">
        <v>335</v>
      </c>
      <c r="D178" s="76"/>
      <c r="E178" s="77"/>
      <c r="F178" s="10">
        <f t="shared" si="119"/>
        <v>82.992000000000004</v>
      </c>
      <c r="G178" s="10">
        <f t="shared" si="122"/>
        <v>82.992000000000004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f t="shared" ref="S178" si="125">0.8*103.74</f>
        <v>82.992000000000004</v>
      </c>
      <c r="T178" s="7">
        <f t="shared" si="96"/>
        <v>82.992000000000004</v>
      </c>
      <c r="U178" s="8">
        <f t="shared" si="101"/>
        <v>0</v>
      </c>
      <c r="V178" s="8"/>
      <c r="Z178" s="10"/>
      <c r="AA178" s="8"/>
      <c r="AI178" s="8"/>
    </row>
    <row r="179" spans="2:35" ht="9.75" customHeight="1" x14ac:dyDescent="0.25">
      <c r="B179" s="64" t="s">
        <v>336</v>
      </c>
      <c r="C179" s="64" t="s">
        <v>337</v>
      </c>
      <c r="D179" s="76"/>
      <c r="E179" s="77"/>
      <c r="F179" s="10">
        <f t="shared" si="119"/>
        <v>146</v>
      </c>
      <c r="G179" s="10">
        <f t="shared" si="122"/>
        <v>146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146</v>
      </c>
      <c r="T179" s="7">
        <f t="shared" si="96"/>
        <v>146</v>
      </c>
      <c r="U179" s="8">
        <f t="shared" si="101"/>
        <v>0</v>
      </c>
      <c r="V179" s="8"/>
      <c r="Z179" s="10"/>
      <c r="AA179" s="8"/>
      <c r="AI179" s="8"/>
    </row>
    <row r="180" spans="2:35" ht="9.75" customHeight="1" x14ac:dyDescent="0.25">
      <c r="B180" s="67" t="s">
        <v>338</v>
      </c>
      <c r="C180" s="67" t="s">
        <v>339</v>
      </c>
      <c r="D180" s="76"/>
      <c r="E180" s="77">
        <f t="shared" ref="E180:E199" si="126">+L180*0.15</f>
        <v>0</v>
      </c>
      <c r="F180" s="10">
        <f t="shared" si="119"/>
        <v>567.23</v>
      </c>
      <c r="G180" s="10">
        <f t="shared" si="122"/>
        <v>567.23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567.23</v>
      </c>
      <c r="O180" s="10">
        <v>0</v>
      </c>
      <c r="P180" s="10">
        <v>0</v>
      </c>
      <c r="Q180" s="10">
        <v>0</v>
      </c>
      <c r="R180" s="10">
        <v>0</v>
      </c>
      <c r="S180" s="10">
        <v>0</v>
      </c>
      <c r="T180" s="7">
        <f t="shared" si="96"/>
        <v>567.23</v>
      </c>
      <c r="U180" s="8">
        <f t="shared" si="101"/>
        <v>0</v>
      </c>
      <c r="V180" s="8"/>
      <c r="Z180" s="10"/>
      <c r="AA180" s="8"/>
      <c r="AI180" s="8">
        <f t="shared" si="123"/>
        <v>567.23</v>
      </c>
    </row>
    <row r="181" spans="2:35" ht="9.75" customHeight="1" x14ac:dyDescent="0.25">
      <c r="B181" s="67" t="s">
        <v>340</v>
      </c>
      <c r="C181" s="67" t="s">
        <v>341</v>
      </c>
      <c r="D181" s="76"/>
      <c r="E181" s="77">
        <f t="shared" si="126"/>
        <v>0</v>
      </c>
      <c r="F181" s="10">
        <f t="shared" si="119"/>
        <v>3198</v>
      </c>
      <c r="G181" s="10">
        <f t="shared" si="122"/>
        <v>3198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1421.75</v>
      </c>
      <c r="O181" s="10">
        <v>1776.25</v>
      </c>
      <c r="P181" s="10">
        <v>0</v>
      </c>
      <c r="Q181" s="10">
        <v>0</v>
      </c>
      <c r="R181" s="10">
        <v>0</v>
      </c>
      <c r="S181" s="10">
        <v>0</v>
      </c>
      <c r="T181" s="7">
        <f t="shared" si="96"/>
        <v>3198</v>
      </c>
      <c r="U181" s="8">
        <f t="shared" si="101"/>
        <v>0</v>
      </c>
      <c r="V181" s="8"/>
      <c r="Z181" s="10">
        <v>218.51</v>
      </c>
      <c r="AA181" s="8">
        <f t="shared" si="97"/>
        <v>-2979.49</v>
      </c>
      <c r="AI181" s="8">
        <f t="shared" si="123"/>
        <v>3198</v>
      </c>
    </row>
    <row r="182" spans="2:35" ht="9.75" customHeight="1" x14ac:dyDescent="0.25">
      <c r="B182" s="64" t="s">
        <v>342</v>
      </c>
      <c r="C182" s="64" t="s">
        <v>343</v>
      </c>
      <c r="D182" s="76"/>
      <c r="E182" s="77">
        <f t="shared" si="126"/>
        <v>0</v>
      </c>
      <c r="F182" s="10">
        <f t="shared" si="119"/>
        <v>208</v>
      </c>
      <c r="G182" s="10">
        <f t="shared" si="122"/>
        <v>208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208</v>
      </c>
      <c r="T182" s="7">
        <f t="shared" si="96"/>
        <v>208</v>
      </c>
      <c r="U182" s="8">
        <f t="shared" si="101"/>
        <v>0</v>
      </c>
      <c r="V182" s="8"/>
      <c r="Z182" s="10"/>
      <c r="AA182" s="8"/>
      <c r="AI182" s="8"/>
    </row>
    <row r="183" spans="2:35" ht="9.75" customHeight="1" x14ac:dyDescent="0.25">
      <c r="B183" s="64" t="s">
        <v>344</v>
      </c>
      <c r="C183" s="64" t="s">
        <v>345</v>
      </c>
      <c r="D183" s="76"/>
      <c r="E183" s="77"/>
      <c r="F183" s="10">
        <f t="shared" si="119"/>
        <v>2532.41</v>
      </c>
      <c r="G183" s="10">
        <f t="shared" si="122"/>
        <v>2532.41</v>
      </c>
      <c r="H183" s="10">
        <v>817.53</v>
      </c>
      <c r="I183" s="10">
        <v>0</v>
      </c>
      <c r="J183" s="10">
        <v>567.96</v>
      </c>
      <c r="K183" s="10">
        <v>0</v>
      </c>
      <c r="L183" s="10">
        <v>567.96</v>
      </c>
      <c r="M183" s="10">
        <v>0</v>
      </c>
      <c r="N183" s="10">
        <v>0</v>
      </c>
      <c r="O183" s="10">
        <v>0</v>
      </c>
      <c r="P183" s="10">
        <v>0</v>
      </c>
      <c r="Q183" s="10">
        <v>567.96</v>
      </c>
      <c r="R183" s="10">
        <v>0</v>
      </c>
      <c r="S183" s="10">
        <v>11</v>
      </c>
      <c r="T183" s="7">
        <f t="shared" si="96"/>
        <v>2532.41</v>
      </c>
      <c r="U183" s="8">
        <f t="shared" si="101"/>
        <v>0</v>
      </c>
      <c r="V183" s="8"/>
      <c r="Z183" s="10"/>
      <c r="AA183" s="8"/>
      <c r="AI183" s="8"/>
    </row>
    <row r="184" spans="2:35" ht="9.75" customHeight="1" x14ac:dyDescent="0.25">
      <c r="B184" s="64" t="s">
        <v>346</v>
      </c>
      <c r="C184" s="64" t="s">
        <v>347</v>
      </c>
      <c r="D184" s="76"/>
      <c r="E184" s="77"/>
      <c r="F184" s="10">
        <f t="shared" si="119"/>
        <v>100</v>
      </c>
      <c r="G184" s="10">
        <f t="shared" si="122"/>
        <v>100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100</v>
      </c>
      <c r="T184" s="7">
        <f t="shared" si="96"/>
        <v>100</v>
      </c>
      <c r="U184" s="8">
        <f t="shared" si="101"/>
        <v>0</v>
      </c>
      <c r="V184" s="8"/>
      <c r="Z184" s="10"/>
      <c r="AA184" s="8"/>
      <c r="AI184" s="8"/>
    </row>
    <row r="185" spans="2:35" ht="9.75" customHeight="1" x14ac:dyDescent="0.25">
      <c r="B185" s="67" t="s">
        <v>348</v>
      </c>
      <c r="C185" s="67" t="s">
        <v>349</v>
      </c>
      <c r="D185" s="76"/>
      <c r="E185" s="77">
        <f t="shared" si="126"/>
        <v>184.0455</v>
      </c>
      <c r="F185" s="10">
        <f t="shared" si="119"/>
        <v>4689.57</v>
      </c>
      <c r="G185" s="10">
        <f t="shared" si="122"/>
        <v>4689.57</v>
      </c>
      <c r="H185" s="10">
        <v>588.35</v>
      </c>
      <c r="I185" s="10">
        <v>283.98</v>
      </c>
      <c r="J185" s="10">
        <v>0</v>
      </c>
      <c r="K185" s="10">
        <v>545.32000000000005</v>
      </c>
      <c r="L185" s="10">
        <v>1226.97</v>
      </c>
      <c r="M185" s="10">
        <v>0</v>
      </c>
      <c r="N185" s="10">
        <v>272.66000000000003</v>
      </c>
      <c r="O185" s="10">
        <v>0</v>
      </c>
      <c r="P185" s="10">
        <v>545.32000000000005</v>
      </c>
      <c r="Q185" s="10">
        <v>1226.97</v>
      </c>
      <c r="R185" s="10">
        <v>0</v>
      </c>
      <c r="S185" s="10">
        <v>0</v>
      </c>
      <c r="T185" s="7">
        <f t="shared" si="96"/>
        <v>4689.57</v>
      </c>
      <c r="U185" s="8">
        <f t="shared" si="101"/>
        <v>0</v>
      </c>
      <c r="V185" s="8"/>
      <c r="Z185" s="10"/>
      <c r="AA185" s="8"/>
      <c r="AI185" s="8">
        <f t="shared" si="123"/>
        <v>4689.57</v>
      </c>
    </row>
    <row r="186" spans="2:35" ht="9.75" customHeight="1" x14ac:dyDescent="0.25">
      <c r="B186" s="67" t="s">
        <v>350</v>
      </c>
      <c r="C186" s="67" t="s">
        <v>351</v>
      </c>
      <c r="D186" s="76"/>
      <c r="E186" s="77">
        <f t="shared" si="126"/>
        <v>0</v>
      </c>
      <c r="F186" s="10">
        <f t="shared" si="119"/>
        <v>0</v>
      </c>
      <c r="G186" s="10">
        <f t="shared" si="122"/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0</v>
      </c>
      <c r="T186" s="7">
        <f t="shared" si="96"/>
        <v>0</v>
      </c>
      <c r="U186" s="8">
        <f t="shared" si="101"/>
        <v>0</v>
      </c>
      <c r="V186" s="8"/>
      <c r="Z186" s="10">
        <v>278.10000000000002</v>
      </c>
      <c r="AA186" s="8">
        <f t="shared" si="97"/>
        <v>278.10000000000002</v>
      </c>
      <c r="AI186" s="8">
        <f t="shared" si="123"/>
        <v>0</v>
      </c>
    </row>
    <row r="187" spans="2:35" ht="9.75" customHeight="1" x14ac:dyDescent="0.25">
      <c r="B187" s="67" t="s">
        <v>352</v>
      </c>
      <c r="C187" s="67" t="s">
        <v>353</v>
      </c>
      <c r="D187" s="76"/>
      <c r="E187" s="77">
        <f t="shared" si="126"/>
        <v>0</v>
      </c>
      <c r="F187" s="10">
        <f t="shared" si="119"/>
        <v>2000</v>
      </c>
      <c r="G187" s="10">
        <f t="shared" si="122"/>
        <v>2000</v>
      </c>
      <c r="H187" s="10">
        <v>2000</v>
      </c>
      <c r="I187" s="10">
        <v>0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7">
        <f t="shared" si="96"/>
        <v>2000</v>
      </c>
      <c r="U187" s="8">
        <f t="shared" si="101"/>
        <v>0</v>
      </c>
      <c r="V187" s="8"/>
      <c r="Z187" s="10"/>
      <c r="AA187" s="8"/>
      <c r="AI187" s="8"/>
    </row>
    <row r="188" spans="2:35" ht="9.75" customHeight="1" x14ac:dyDescent="0.25">
      <c r="B188" s="67" t="s">
        <v>354</v>
      </c>
      <c r="C188" s="67" t="s">
        <v>355</v>
      </c>
      <c r="D188" s="76"/>
      <c r="E188" s="77"/>
      <c r="F188" s="10">
        <f t="shared" si="119"/>
        <v>6737.87</v>
      </c>
      <c r="G188" s="10">
        <f t="shared" si="122"/>
        <v>6737.87</v>
      </c>
      <c r="H188" s="10">
        <v>261.55</v>
      </c>
      <c r="I188" s="10">
        <v>0</v>
      </c>
      <c r="J188" s="10">
        <v>4600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1876.32</v>
      </c>
      <c r="T188" s="7">
        <f t="shared" si="96"/>
        <v>6737.87</v>
      </c>
      <c r="U188" s="8">
        <f t="shared" si="101"/>
        <v>0</v>
      </c>
      <c r="V188" s="8"/>
      <c r="Z188" s="10"/>
      <c r="AA188" s="8"/>
      <c r="AI188" s="8"/>
    </row>
    <row r="189" spans="2:35" ht="9.75" customHeight="1" x14ac:dyDescent="0.25">
      <c r="B189" s="67" t="s">
        <v>356</v>
      </c>
      <c r="C189" s="67" t="s">
        <v>357</v>
      </c>
      <c r="D189" s="76"/>
      <c r="E189" s="77">
        <f t="shared" si="126"/>
        <v>33.942</v>
      </c>
      <c r="F189" s="10">
        <f t="shared" si="119"/>
        <v>2904.67</v>
      </c>
      <c r="G189" s="10">
        <f t="shared" si="122"/>
        <v>2904.67</v>
      </c>
      <c r="H189" s="10">
        <v>433.71</v>
      </c>
      <c r="I189" s="10">
        <v>1226.42</v>
      </c>
      <c r="J189" s="10">
        <v>226.28</v>
      </c>
      <c r="K189" s="10">
        <v>113.14</v>
      </c>
      <c r="L189" s="10">
        <v>226.28</v>
      </c>
      <c r="M189" s="10">
        <v>113.14</v>
      </c>
      <c r="N189" s="10">
        <v>0</v>
      </c>
      <c r="O189" s="10">
        <v>113.14</v>
      </c>
      <c r="P189" s="10">
        <v>113.14</v>
      </c>
      <c r="Q189" s="10">
        <v>226.28</v>
      </c>
      <c r="R189" s="10">
        <v>113.14</v>
      </c>
      <c r="S189" s="10">
        <v>0</v>
      </c>
      <c r="T189" s="7">
        <f t="shared" si="96"/>
        <v>2904.67</v>
      </c>
      <c r="U189" s="8">
        <f t="shared" si="101"/>
        <v>0</v>
      </c>
      <c r="V189" s="8"/>
      <c r="Z189" s="10"/>
      <c r="AA189" s="8"/>
      <c r="AI189" s="8">
        <f t="shared" si="123"/>
        <v>2904.67</v>
      </c>
    </row>
    <row r="190" spans="2:35" ht="18" customHeight="1" x14ac:dyDescent="0.25">
      <c r="B190" s="67" t="s">
        <v>358</v>
      </c>
      <c r="C190" s="78" t="s">
        <v>359</v>
      </c>
      <c r="D190" s="76"/>
      <c r="E190" s="77">
        <f t="shared" si="126"/>
        <v>296.142</v>
      </c>
      <c r="F190" s="10">
        <f t="shared" si="119"/>
        <v>20024.84</v>
      </c>
      <c r="G190" s="10">
        <f t="shared" si="122"/>
        <v>20024.84</v>
      </c>
      <c r="H190" s="10">
        <v>380</v>
      </c>
      <c r="I190" s="10">
        <v>770</v>
      </c>
      <c r="J190" s="10">
        <v>1185</v>
      </c>
      <c r="K190" s="10">
        <v>4896.34</v>
      </c>
      <c r="L190" s="10">
        <v>1974.28</v>
      </c>
      <c r="M190" s="10">
        <v>789.72</v>
      </c>
      <c r="N190" s="10">
        <v>789.72</v>
      </c>
      <c r="O190" s="10">
        <v>789.72</v>
      </c>
      <c r="P190" s="10">
        <v>4896.34</v>
      </c>
      <c r="Q190" s="10">
        <v>1974.28</v>
      </c>
      <c r="R190" s="10">
        <v>789.72</v>
      </c>
      <c r="S190" s="10">
        <v>789.72</v>
      </c>
      <c r="T190" s="7">
        <f t="shared" si="96"/>
        <v>20024.84</v>
      </c>
      <c r="U190" s="8">
        <f t="shared" si="101"/>
        <v>0</v>
      </c>
      <c r="V190" s="8"/>
      <c r="Z190" s="10"/>
      <c r="AA190" s="8"/>
      <c r="AI190" s="8">
        <f t="shared" si="123"/>
        <v>20024.84</v>
      </c>
    </row>
    <row r="191" spans="2:35" ht="18.75" customHeight="1" x14ac:dyDescent="0.25">
      <c r="B191" s="67" t="s">
        <v>360</v>
      </c>
      <c r="C191" s="78" t="s">
        <v>361</v>
      </c>
      <c r="D191" s="76"/>
      <c r="E191" s="77"/>
      <c r="F191" s="10">
        <f t="shared" si="119"/>
        <v>508</v>
      </c>
      <c r="G191" s="10">
        <f t="shared" si="122"/>
        <v>508</v>
      </c>
      <c r="H191" s="10">
        <v>508</v>
      </c>
      <c r="I191" s="10">
        <v>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10">
        <v>0</v>
      </c>
      <c r="S191" s="10">
        <v>0</v>
      </c>
      <c r="T191" s="7"/>
      <c r="U191" s="8"/>
      <c r="V191" s="8"/>
      <c r="Z191" s="10"/>
      <c r="AA191" s="8"/>
      <c r="AI191" s="8"/>
    </row>
    <row r="192" spans="2:35" ht="18.75" customHeight="1" x14ac:dyDescent="0.25">
      <c r="B192" s="67" t="s">
        <v>362</v>
      </c>
      <c r="C192" s="78" t="s">
        <v>363</v>
      </c>
      <c r="D192" s="76"/>
      <c r="E192" s="77">
        <f t="shared" si="126"/>
        <v>0</v>
      </c>
      <c r="F192" s="10">
        <f t="shared" si="119"/>
        <v>739.94</v>
      </c>
      <c r="G192" s="10">
        <f t="shared" si="122"/>
        <v>739.94</v>
      </c>
      <c r="H192" s="10">
        <v>0</v>
      </c>
      <c r="I192" s="10">
        <f>369.97*2</f>
        <v>739.94</v>
      </c>
      <c r="J192" s="10">
        <v>0</v>
      </c>
      <c r="K192" s="10">
        <v>0</v>
      </c>
      <c r="L192" s="10">
        <v>0</v>
      </c>
      <c r="M192" s="10">
        <v>0</v>
      </c>
      <c r="N192" s="10"/>
      <c r="O192" s="10"/>
      <c r="P192" s="10">
        <v>0</v>
      </c>
      <c r="Q192" s="10">
        <v>0</v>
      </c>
      <c r="R192" s="10">
        <v>0</v>
      </c>
      <c r="S192" s="10">
        <v>0</v>
      </c>
      <c r="T192" s="7">
        <f t="shared" si="96"/>
        <v>739.94</v>
      </c>
      <c r="U192" s="8">
        <f t="shared" si="101"/>
        <v>0</v>
      </c>
      <c r="V192" s="8"/>
      <c r="Z192" s="10">
        <v>2112.5300000000002</v>
      </c>
      <c r="AA192" s="8">
        <f t="shared" si="97"/>
        <v>1372.5900000000001</v>
      </c>
      <c r="AI192" s="8">
        <f t="shared" si="123"/>
        <v>739.94</v>
      </c>
    </row>
    <row r="193" spans="2:35" ht="9.75" customHeight="1" x14ac:dyDescent="0.25">
      <c r="B193" s="67" t="s">
        <v>364</v>
      </c>
      <c r="C193" s="67" t="s">
        <v>365</v>
      </c>
      <c r="D193" s="76"/>
      <c r="E193" s="77"/>
      <c r="F193" s="10">
        <f t="shared" si="119"/>
        <v>29827.550000000003</v>
      </c>
      <c r="G193" s="10">
        <f t="shared" si="122"/>
        <v>29827.550000000003</v>
      </c>
      <c r="H193" s="10">
        <v>2879.26</v>
      </c>
      <c r="I193" s="10">
        <v>5118.43</v>
      </c>
      <c r="J193" s="10">
        <v>352.99</v>
      </c>
      <c r="K193" s="10">
        <v>2470.9699999999998</v>
      </c>
      <c r="L193" s="10">
        <v>6459.82</v>
      </c>
      <c r="M193" s="10">
        <v>0</v>
      </c>
      <c r="N193" s="10">
        <f>3529.95+1944.88</f>
        <v>5474.83</v>
      </c>
      <c r="O193" s="10">
        <v>1414.25</v>
      </c>
      <c r="P193" s="10">
        <v>1414.25</v>
      </c>
      <c r="Q193" s="10">
        <v>1414.25</v>
      </c>
      <c r="R193" s="10">
        <v>1414.25</v>
      </c>
      <c r="S193" s="10">
        <v>1414.25</v>
      </c>
      <c r="T193" s="7">
        <f t="shared" si="96"/>
        <v>29827.550000000003</v>
      </c>
      <c r="U193" s="8">
        <f t="shared" si="101"/>
        <v>0</v>
      </c>
      <c r="V193" s="8"/>
      <c r="Z193" s="10"/>
      <c r="AA193" s="8"/>
      <c r="AI193" s="8">
        <f t="shared" si="123"/>
        <v>29827.550000000003</v>
      </c>
    </row>
    <row r="194" spans="2:35" ht="9.75" customHeight="1" x14ac:dyDescent="0.25">
      <c r="B194" s="67" t="s">
        <v>366</v>
      </c>
      <c r="C194" s="67" t="s">
        <v>367</v>
      </c>
      <c r="D194" s="76"/>
      <c r="E194" s="77">
        <f t="shared" si="126"/>
        <v>0</v>
      </c>
      <c r="F194" s="10">
        <f t="shared" si="119"/>
        <v>0</v>
      </c>
      <c r="G194" s="10">
        <f t="shared" si="122"/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/>
      <c r="O194" s="10"/>
      <c r="P194" s="10">
        <v>0</v>
      </c>
      <c r="Q194" s="10">
        <v>0</v>
      </c>
      <c r="R194" s="10">
        <v>0</v>
      </c>
      <c r="S194" s="10">
        <v>0</v>
      </c>
      <c r="T194" s="7">
        <f t="shared" si="96"/>
        <v>0</v>
      </c>
      <c r="U194" s="8">
        <f t="shared" si="101"/>
        <v>0</v>
      </c>
      <c r="V194" s="8"/>
      <c r="Z194" s="10">
        <v>53.74</v>
      </c>
      <c r="AA194" s="8">
        <f t="shared" si="97"/>
        <v>53.74</v>
      </c>
      <c r="AI194" s="8">
        <f t="shared" si="123"/>
        <v>0</v>
      </c>
    </row>
    <row r="195" spans="2:35" ht="9.75" customHeight="1" x14ac:dyDescent="0.25">
      <c r="B195" s="67" t="s">
        <v>368</v>
      </c>
      <c r="C195" s="67" t="s">
        <v>369</v>
      </c>
      <c r="D195" s="76"/>
      <c r="E195" s="77">
        <f t="shared" si="126"/>
        <v>808.66500000000008</v>
      </c>
      <c r="F195" s="10">
        <f t="shared" si="119"/>
        <v>25117.94</v>
      </c>
      <c r="G195" s="10">
        <f t="shared" si="122"/>
        <v>25117.94</v>
      </c>
      <c r="H195" s="10">
        <v>2119.36</v>
      </c>
      <c r="I195" s="10">
        <v>1867.94</v>
      </c>
      <c r="J195" s="10">
        <v>449.15</v>
      </c>
      <c r="K195" s="10">
        <v>1332.78</v>
      </c>
      <c r="L195" s="10">
        <v>5391.1</v>
      </c>
      <c r="M195" s="10">
        <v>424.27</v>
      </c>
      <c r="N195" s="10">
        <f>3427.15+1510.84</f>
        <v>4937.99</v>
      </c>
      <c r="O195" s="10">
        <f>395+1052.2</f>
        <v>1447.2</v>
      </c>
      <c r="P195" s="10">
        <v>1332.78</v>
      </c>
      <c r="Q195" s="10">
        <v>5391.1</v>
      </c>
      <c r="R195" s="10">
        <v>424.27</v>
      </c>
      <c r="S195" s="10">
        <v>0</v>
      </c>
      <c r="T195" s="7">
        <f t="shared" si="96"/>
        <v>25117.94</v>
      </c>
      <c r="U195" s="8">
        <f t="shared" si="101"/>
        <v>0</v>
      </c>
      <c r="V195" s="8"/>
      <c r="Z195" s="10"/>
      <c r="AA195" s="8"/>
      <c r="AI195" s="8">
        <f t="shared" si="123"/>
        <v>25117.94</v>
      </c>
    </row>
    <row r="196" spans="2:35" ht="9.75" customHeight="1" x14ac:dyDescent="0.25">
      <c r="B196" s="64" t="s">
        <v>370</v>
      </c>
      <c r="C196" s="64" t="s">
        <v>371</v>
      </c>
      <c r="D196" s="76"/>
      <c r="E196" s="77"/>
      <c r="F196" s="10">
        <f t="shared" si="119"/>
        <v>0</v>
      </c>
      <c r="G196" s="10">
        <f t="shared" si="122"/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7">
        <f t="shared" si="96"/>
        <v>0</v>
      </c>
      <c r="U196" s="8">
        <f t="shared" si="101"/>
        <v>0</v>
      </c>
      <c r="V196" s="8"/>
      <c r="Z196" s="10">
        <v>1145.74</v>
      </c>
      <c r="AA196" s="8">
        <f t="shared" si="97"/>
        <v>1145.74</v>
      </c>
      <c r="AI196" s="8">
        <f t="shared" si="123"/>
        <v>0</v>
      </c>
    </row>
    <row r="197" spans="2:35" ht="9.75" customHeight="1" x14ac:dyDescent="0.25">
      <c r="B197" s="67" t="s">
        <v>372</v>
      </c>
      <c r="C197" s="67" t="s">
        <v>373</v>
      </c>
      <c r="D197" s="76"/>
      <c r="E197" s="77"/>
      <c r="F197" s="10">
        <f t="shared" si="119"/>
        <v>2455.1999999999998</v>
      </c>
      <c r="G197" s="10">
        <f t="shared" si="122"/>
        <v>2455.1999999999998</v>
      </c>
      <c r="H197" s="10">
        <v>134.71</v>
      </c>
      <c r="I197" s="10">
        <v>141.41999999999999</v>
      </c>
      <c r="J197" s="10">
        <v>705.99</v>
      </c>
      <c r="K197" s="10">
        <v>0</v>
      </c>
      <c r="L197" s="10">
        <v>420.88</v>
      </c>
      <c r="M197" s="10">
        <v>315.66000000000003</v>
      </c>
      <c r="N197" s="10">
        <v>0</v>
      </c>
      <c r="O197" s="10">
        <v>0</v>
      </c>
      <c r="P197" s="10">
        <v>0</v>
      </c>
      <c r="Q197" s="10">
        <v>420.88</v>
      </c>
      <c r="R197" s="10">
        <v>315.66000000000003</v>
      </c>
      <c r="S197" s="10">
        <v>0</v>
      </c>
      <c r="T197" s="7">
        <f t="shared" si="96"/>
        <v>2455.1999999999998</v>
      </c>
      <c r="U197" s="8">
        <f t="shared" si="101"/>
        <v>0</v>
      </c>
      <c r="V197" s="8"/>
      <c r="Z197" s="10">
        <v>1159.1099999999999</v>
      </c>
      <c r="AA197" s="8">
        <f t="shared" si="97"/>
        <v>-1296.0899999999999</v>
      </c>
      <c r="AI197" s="8">
        <f t="shared" si="123"/>
        <v>2455.1999999999998</v>
      </c>
    </row>
    <row r="198" spans="2:35" ht="11.25" customHeight="1" x14ac:dyDescent="0.25">
      <c r="B198" s="67" t="s">
        <v>374</v>
      </c>
      <c r="C198" s="67" t="s">
        <v>375</v>
      </c>
      <c r="D198" s="76"/>
      <c r="E198" s="77">
        <f t="shared" si="126"/>
        <v>0</v>
      </c>
      <c r="F198" s="10">
        <f t="shared" si="119"/>
        <v>0</v>
      </c>
      <c r="G198" s="10">
        <f t="shared" si="122"/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7">
        <f t="shared" si="96"/>
        <v>0</v>
      </c>
      <c r="U198" s="8">
        <f t="shared" si="101"/>
        <v>0</v>
      </c>
      <c r="V198" s="8"/>
      <c r="Z198" s="10">
        <v>290419.82</v>
      </c>
      <c r="AA198" s="8">
        <f t="shared" si="97"/>
        <v>290419.82</v>
      </c>
      <c r="AG198" s="8">
        <v>301033.19</v>
      </c>
      <c r="AH198" s="61">
        <f>+AG198-G198</f>
        <v>301033.19</v>
      </c>
      <c r="AI198" s="8">
        <f t="shared" si="123"/>
        <v>0</v>
      </c>
    </row>
    <row r="199" spans="2:35" ht="9.75" customHeight="1" x14ac:dyDescent="0.25">
      <c r="B199" s="67" t="s">
        <v>376</v>
      </c>
      <c r="C199" s="67" t="s">
        <v>377</v>
      </c>
      <c r="D199" s="76"/>
      <c r="E199" s="77">
        <f t="shared" si="126"/>
        <v>360.46350000000001</v>
      </c>
      <c r="F199" s="10">
        <f t="shared" si="119"/>
        <v>308879.71000000025</v>
      </c>
      <c r="G199" s="10">
        <f t="shared" si="122"/>
        <v>308879.71000000025</v>
      </c>
      <c r="H199" s="10">
        <v>265624.15000000002</v>
      </c>
      <c r="I199" s="10">
        <v>20025.75</v>
      </c>
      <c r="J199" s="10">
        <v>12015.39</v>
      </c>
      <c r="K199" s="10">
        <v>2403.09</v>
      </c>
      <c r="L199" s="10">
        <v>2403.09</v>
      </c>
      <c r="M199" s="10">
        <v>1602.06</v>
      </c>
      <c r="N199" s="10">
        <v>801.03</v>
      </c>
      <c r="O199" s="10">
        <v>801.03</v>
      </c>
      <c r="P199" s="10">
        <v>801.03</v>
      </c>
      <c r="Q199" s="10">
        <v>801.03</v>
      </c>
      <c r="R199" s="10">
        <v>801.03</v>
      </c>
      <c r="S199" s="10">
        <v>801.03</v>
      </c>
      <c r="T199" s="7">
        <f t="shared" si="96"/>
        <v>308879.71000000025</v>
      </c>
      <c r="U199" s="8">
        <f t="shared" si="101"/>
        <v>0</v>
      </c>
      <c r="V199" s="8"/>
      <c r="Z199" s="10"/>
      <c r="AA199" s="8"/>
      <c r="AG199" s="8"/>
      <c r="AI199" s="8"/>
    </row>
    <row r="200" spans="2:35" ht="9.75" customHeight="1" x14ac:dyDescent="0.25">
      <c r="B200" s="67" t="s">
        <v>378</v>
      </c>
      <c r="C200" s="67" t="s">
        <v>379</v>
      </c>
      <c r="D200" s="76"/>
      <c r="E200" s="77"/>
      <c r="F200" s="10">
        <f t="shared" si="119"/>
        <v>0</v>
      </c>
      <c r="G200" s="10">
        <f t="shared" si="122"/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10">
        <v>0</v>
      </c>
      <c r="S200" s="10">
        <v>0</v>
      </c>
      <c r="T200" s="7">
        <f t="shared" si="96"/>
        <v>0</v>
      </c>
      <c r="U200" s="8">
        <f t="shared" si="101"/>
        <v>0</v>
      </c>
      <c r="V200" s="8"/>
      <c r="Z200" s="10"/>
      <c r="AA200" s="8"/>
      <c r="AG200" s="8"/>
      <c r="AI200" s="8"/>
    </row>
    <row r="201" spans="2:35" ht="9.75" customHeight="1" x14ac:dyDescent="0.25">
      <c r="B201" s="67" t="s">
        <v>380</v>
      </c>
      <c r="C201" s="67" t="s">
        <v>381</v>
      </c>
      <c r="D201" s="76"/>
      <c r="E201" s="79"/>
      <c r="F201" s="10">
        <f t="shared" si="119"/>
        <v>0</v>
      </c>
      <c r="G201" s="10">
        <f t="shared" si="122"/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0</v>
      </c>
      <c r="T201" s="7">
        <f t="shared" si="96"/>
        <v>0</v>
      </c>
      <c r="U201" s="8">
        <f t="shared" si="101"/>
        <v>0</v>
      </c>
      <c r="V201" s="8"/>
      <c r="Z201" s="10"/>
      <c r="AA201" s="8"/>
      <c r="AG201" s="8"/>
      <c r="AI201" s="8"/>
    </row>
    <row r="202" spans="2:35" ht="9.75" customHeight="1" x14ac:dyDescent="0.25">
      <c r="B202" s="67" t="s">
        <v>382</v>
      </c>
      <c r="C202" s="67" t="s">
        <v>383</v>
      </c>
      <c r="D202" s="76"/>
      <c r="E202" s="77">
        <f>+L202*0.15</f>
        <v>0</v>
      </c>
      <c r="F202" s="10">
        <f t="shared" si="119"/>
        <v>0</v>
      </c>
      <c r="G202" s="10">
        <f t="shared" si="122"/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0</v>
      </c>
      <c r="T202" s="7">
        <f t="shared" si="96"/>
        <v>0</v>
      </c>
      <c r="U202" s="8">
        <f t="shared" si="101"/>
        <v>0</v>
      </c>
      <c r="V202" s="8"/>
      <c r="Z202" s="10"/>
      <c r="AA202" s="8"/>
      <c r="AG202" s="8"/>
      <c r="AI202" s="8"/>
    </row>
    <row r="203" spans="2:35" ht="9.75" customHeight="1" x14ac:dyDescent="0.25">
      <c r="B203" s="67" t="s">
        <v>384</v>
      </c>
      <c r="C203" s="67" t="s">
        <v>385</v>
      </c>
      <c r="D203" s="76"/>
      <c r="E203" s="77">
        <f t="shared" ref="E203:E204" si="127">+L203*0.15</f>
        <v>213.15</v>
      </c>
      <c r="F203" s="10">
        <f t="shared" si="119"/>
        <v>4959.22</v>
      </c>
      <c r="G203" s="10">
        <f t="shared" si="122"/>
        <v>4959.22</v>
      </c>
      <c r="H203" s="10">
        <v>340.97</v>
      </c>
      <c r="I203" s="10">
        <v>0</v>
      </c>
      <c r="J203" s="10">
        <v>355.25</v>
      </c>
      <c r="K203" s="10">
        <v>0</v>
      </c>
      <c r="L203" s="10">
        <v>1421</v>
      </c>
      <c r="M203" s="10">
        <v>710.5</v>
      </c>
      <c r="N203" s="10">
        <v>0</v>
      </c>
      <c r="O203" s="10">
        <v>0</v>
      </c>
      <c r="P203" s="10">
        <v>0</v>
      </c>
      <c r="Q203" s="10">
        <v>1421</v>
      </c>
      <c r="R203" s="10">
        <v>710.5</v>
      </c>
      <c r="S203" s="10">
        <v>0</v>
      </c>
      <c r="T203" s="7">
        <f t="shared" si="96"/>
        <v>4959.22</v>
      </c>
      <c r="U203" s="8">
        <f t="shared" si="101"/>
        <v>0</v>
      </c>
      <c r="V203" s="8"/>
      <c r="Z203" s="10"/>
      <c r="AA203" s="8"/>
      <c r="AG203" s="8"/>
      <c r="AI203" s="8"/>
    </row>
    <row r="204" spans="2:35" ht="9.75" customHeight="1" x14ac:dyDescent="0.25">
      <c r="B204" s="67" t="s">
        <v>386</v>
      </c>
      <c r="C204" s="67" t="s">
        <v>387</v>
      </c>
      <c r="D204" s="76"/>
      <c r="E204" s="77">
        <f t="shared" si="127"/>
        <v>0</v>
      </c>
      <c r="F204" s="10">
        <f t="shared" si="119"/>
        <v>681.1</v>
      </c>
      <c r="G204" s="10">
        <f t="shared" si="122"/>
        <v>681.1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681.1</v>
      </c>
      <c r="O204" s="10">
        <v>0</v>
      </c>
      <c r="P204" s="10">
        <v>0</v>
      </c>
      <c r="Q204" s="10">
        <v>0</v>
      </c>
      <c r="R204" s="10">
        <v>0</v>
      </c>
      <c r="S204" s="10">
        <v>0</v>
      </c>
      <c r="T204" s="7">
        <f t="shared" si="96"/>
        <v>681.1</v>
      </c>
      <c r="U204" s="8">
        <f t="shared" si="101"/>
        <v>0</v>
      </c>
      <c r="V204" s="8"/>
      <c r="Z204" s="10"/>
      <c r="AA204" s="8"/>
      <c r="AG204" s="8"/>
      <c r="AI204" s="8"/>
    </row>
    <row r="205" spans="2:35" ht="9.75" customHeight="1" x14ac:dyDescent="0.25">
      <c r="B205" s="64" t="s">
        <v>388</v>
      </c>
      <c r="C205" s="64" t="s">
        <v>389</v>
      </c>
      <c r="D205" s="8"/>
      <c r="E205" s="77"/>
      <c r="F205" s="10">
        <f t="shared" si="119"/>
        <v>0</v>
      </c>
      <c r="G205" s="10">
        <f t="shared" si="122"/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10">
        <v>0</v>
      </c>
      <c r="S205" s="10">
        <v>0</v>
      </c>
      <c r="T205" s="7">
        <f t="shared" ref="T205:T274" si="128">SUM(H205:S205)</f>
        <v>0</v>
      </c>
      <c r="U205" s="8">
        <f t="shared" si="101"/>
        <v>0</v>
      </c>
      <c r="V205" s="8"/>
      <c r="Z205" s="10"/>
      <c r="AA205" s="8"/>
      <c r="AG205" s="8"/>
      <c r="AI205" s="8"/>
    </row>
    <row r="206" spans="2:35" ht="9.75" customHeight="1" x14ac:dyDescent="0.25">
      <c r="B206" s="64" t="s">
        <v>390</v>
      </c>
      <c r="C206" s="64" t="s">
        <v>391</v>
      </c>
      <c r="D206" s="8"/>
      <c r="E206" s="77"/>
      <c r="F206" s="10">
        <f t="shared" si="119"/>
        <v>0</v>
      </c>
      <c r="G206" s="10">
        <f t="shared" si="122"/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10">
        <v>0</v>
      </c>
      <c r="S206" s="10">
        <v>0</v>
      </c>
      <c r="T206" s="7">
        <f t="shared" si="128"/>
        <v>0</v>
      </c>
      <c r="U206" s="8">
        <f t="shared" si="101"/>
        <v>0</v>
      </c>
      <c r="V206" s="8"/>
      <c r="Z206" s="10"/>
      <c r="AA206" s="8"/>
      <c r="AG206" s="8"/>
      <c r="AI206" s="8"/>
    </row>
    <row r="207" spans="2:35" ht="9.75" customHeight="1" x14ac:dyDescent="0.25">
      <c r="B207" s="64" t="s">
        <v>392</v>
      </c>
      <c r="C207" s="64" t="s">
        <v>393</v>
      </c>
      <c r="D207" s="8"/>
      <c r="E207" s="77"/>
      <c r="F207" s="10">
        <f t="shared" si="119"/>
        <v>0</v>
      </c>
      <c r="G207" s="10">
        <f t="shared" si="122"/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0</v>
      </c>
      <c r="R207" s="10">
        <v>0</v>
      </c>
      <c r="S207" s="10">
        <v>0</v>
      </c>
      <c r="T207" s="7">
        <f t="shared" si="128"/>
        <v>0</v>
      </c>
      <c r="U207" s="8">
        <f t="shared" si="101"/>
        <v>0</v>
      </c>
      <c r="V207" s="8"/>
      <c r="Z207" s="10"/>
      <c r="AA207" s="8"/>
      <c r="AG207" s="8"/>
      <c r="AI207" s="8"/>
    </row>
    <row r="208" spans="2:35" ht="9.75" customHeight="1" x14ac:dyDescent="0.25">
      <c r="B208" s="64" t="s">
        <v>394</v>
      </c>
      <c r="C208" s="64" t="s">
        <v>395</v>
      </c>
      <c r="D208" s="8"/>
      <c r="E208" s="77"/>
      <c r="F208" s="10">
        <f t="shared" si="119"/>
        <v>2696.88</v>
      </c>
      <c r="G208" s="10">
        <f t="shared" si="122"/>
        <v>2696.88</v>
      </c>
      <c r="H208" s="10">
        <v>2696.88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10">
        <v>0</v>
      </c>
      <c r="S208" s="10">
        <v>0</v>
      </c>
      <c r="T208" s="7">
        <f t="shared" si="128"/>
        <v>2696.88</v>
      </c>
      <c r="U208" s="8">
        <f t="shared" si="101"/>
        <v>0</v>
      </c>
      <c r="V208" s="8"/>
      <c r="Z208" s="10"/>
      <c r="AA208" s="8"/>
      <c r="AG208" s="8"/>
      <c r="AI208" s="8"/>
    </row>
    <row r="209" spans="2:35" ht="23.25" customHeight="1" x14ac:dyDescent="0.25">
      <c r="B209" s="64" t="s">
        <v>396</v>
      </c>
      <c r="C209" s="78" t="s">
        <v>397</v>
      </c>
      <c r="D209" s="8"/>
      <c r="E209" s="77"/>
      <c r="F209" s="10">
        <f t="shared" si="119"/>
        <v>1629.24</v>
      </c>
      <c r="G209" s="10">
        <f t="shared" si="122"/>
        <v>1629.24</v>
      </c>
      <c r="H209" s="10">
        <v>135.77000000000001</v>
      </c>
      <c r="I209" s="10">
        <v>135.77000000000001</v>
      </c>
      <c r="J209" s="10">
        <v>135.77000000000001</v>
      </c>
      <c r="K209" s="10">
        <v>135.77000000000001</v>
      </c>
      <c r="L209" s="10">
        <v>135.77000000000001</v>
      </c>
      <c r="M209" s="10">
        <v>135.77000000000001</v>
      </c>
      <c r="N209" s="10">
        <v>135.77000000000001</v>
      </c>
      <c r="O209" s="10">
        <v>135.77000000000001</v>
      </c>
      <c r="P209" s="10">
        <v>135.77000000000001</v>
      </c>
      <c r="Q209" s="10">
        <v>135.77000000000001</v>
      </c>
      <c r="R209" s="10">
        <v>135.77000000000001</v>
      </c>
      <c r="S209" s="10">
        <v>135.77000000000001</v>
      </c>
      <c r="T209" s="7">
        <f t="shared" si="128"/>
        <v>1629.24</v>
      </c>
      <c r="U209" s="8">
        <f t="shared" si="101"/>
        <v>0</v>
      </c>
      <c r="V209" s="8"/>
      <c r="Z209" s="10"/>
      <c r="AA209" s="8"/>
      <c r="AG209" s="8"/>
      <c r="AI209" s="8"/>
    </row>
    <row r="210" spans="2:35" ht="10.199999999999999" x14ac:dyDescent="0.25">
      <c r="B210" s="64" t="s">
        <v>398</v>
      </c>
      <c r="C210" s="78" t="s">
        <v>399</v>
      </c>
      <c r="D210" s="8"/>
      <c r="E210" s="77"/>
      <c r="F210" s="10">
        <f t="shared" si="119"/>
        <v>13576.799999999997</v>
      </c>
      <c r="G210" s="10">
        <f t="shared" si="122"/>
        <v>13576.799999999997</v>
      </c>
      <c r="H210" s="10">
        <v>1131.4000000000001</v>
      </c>
      <c r="I210" s="10">
        <v>1131.4000000000001</v>
      </c>
      <c r="J210" s="10">
        <v>1131.4000000000001</v>
      </c>
      <c r="K210" s="10">
        <v>1131.4000000000001</v>
      </c>
      <c r="L210" s="10">
        <v>1131.4000000000001</v>
      </c>
      <c r="M210" s="10">
        <v>1131.4000000000001</v>
      </c>
      <c r="N210" s="10">
        <v>1131.4000000000001</v>
      </c>
      <c r="O210" s="10">
        <v>1131.4000000000001</v>
      </c>
      <c r="P210" s="10">
        <v>1131.4000000000001</v>
      </c>
      <c r="Q210" s="10">
        <v>1131.4000000000001</v>
      </c>
      <c r="R210" s="10">
        <v>1131.4000000000001</v>
      </c>
      <c r="S210" s="10">
        <v>1131.4000000000001</v>
      </c>
      <c r="T210" s="7"/>
      <c r="U210" s="8"/>
      <c r="V210" s="8"/>
      <c r="Z210" s="10"/>
      <c r="AA210" s="8"/>
      <c r="AG210" s="8"/>
      <c r="AI210" s="8"/>
    </row>
    <row r="211" spans="2:35" ht="9.75" customHeight="1" x14ac:dyDescent="0.25">
      <c r="B211" s="64" t="s">
        <v>398</v>
      </c>
      <c r="C211" s="64" t="s">
        <v>400</v>
      </c>
      <c r="D211" s="8"/>
      <c r="E211" s="77"/>
      <c r="F211" s="10">
        <f t="shared" si="119"/>
        <v>3054.84</v>
      </c>
      <c r="G211" s="10">
        <f t="shared" si="122"/>
        <v>3054.84</v>
      </c>
      <c r="H211" s="10">
        <v>254.57</v>
      </c>
      <c r="I211" s="10">
        <v>254.57</v>
      </c>
      <c r="J211" s="10">
        <v>254.57</v>
      </c>
      <c r="K211" s="10">
        <v>254.57</v>
      </c>
      <c r="L211" s="10">
        <v>254.57</v>
      </c>
      <c r="M211" s="10">
        <v>254.57</v>
      </c>
      <c r="N211" s="10">
        <v>254.57</v>
      </c>
      <c r="O211" s="10">
        <v>254.57</v>
      </c>
      <c r="P211" s="10">
        <v>254.57</v>
      </c>
      <c r="Q211" s="10">
        <v>254.57</v>
      </c>
      <c r="R211" s="10">
        <v>254.57</v>
      </c>
      <c r="S211" s="10">
        <v>254.57</v>
      </c>
      <c r="T211" s="7"/>
      <c r="U211" s="8"/>
      <c r="V211" s="8"/>
      <c r="Z211" s="10"/>
      <c r="AA211" s="8"/>
      <c r="AG211" s="8"/>
      <c r="AI211" s="8"/>
    </row>
    <row r="212" spans="2:35" ht="9.75" customHeight="1" x14ac:dyDescent="0.25">
      <c r="B212" s="64" t="s">
        <v>401</v>
      </c>
      <c r="C212" s="64" t="s">
        <v>402</v>
      </c>
      <c r="D212" s="8"/>
      <c r="E212" s="77"/>
      <c r="F212" s="10">
        <f t="shared" si="119"/>
        <v>135.77000000000001</v>
      </c>
      <c r="G212" s="10">
        <f t="shared" si="122"/>
        <v>135.77000000000001</v>
      </c>
      <c r="H212" s="10">
        <v>0</v>
      </c>
      <c r="I212" s="10">
        <v>135.77000000000001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10">
        <v>0</v>
      </c>
      <c r="S212" s="10"/>
      <c r="T212" s="7">
        <f t="shared" si="128"/>
        <v>135.77000000000001</v>
      </c>
      <c r="U212" s="8">
        <f t="shared" si="101"/>
        <v>0</v>
      </c>
      <c r="V212" s="8"/>
      <c r="Z212" s="10"/>
      <c r="AA212" s="8"/>
      <c r="AG212" s="8"/>
      <c r="AI212" s="8"/>
    </row>
    <row r="213" spans="2:35" ht="9.75" customHeight="1" x14ac:dyDescent="0.25">
      <c r="B213" s="64" t="s">
        <v>403</v>
      </c>
      <c r="C213" s="64" t="s">
        <v>404</v>
      </c>
      <c r="D213" s="8"/>
      <c r="E213" s="77"/>
      <c r="F213" s="10">
        <f t="shared" si="119"/>
        <v>0</v>
      </c>
      <c r="G213" s="10">
        <f t="shared" si="122"/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/>
      <c r="T213" s="7">
        <f t="shared" si="128"/>
        <v>0</v>
      </c>
      <c r="U213" s="8">
        <f t="shared" si="101"/>
        <v>0</v>
      </c>
      <c r="V213" s="8"/>
      <c r="Z213" s="10"/>
      <c r="AA213" s="8"/>
      <c r="AG213" s="8"/>
      <c r="AI213" s="8"/>
    </row>
    <row r="214" spans="2:35" ht="9.75" customHeight="1" x14ac:dyDescent="0.25">
      <c r="B214" s="64" t="s">
        <v>405</v>
      </c>
      <c r="C214" s="64" t="s">
        <v>406</v>
      </c>
      <c r="D214" s="8"/>
      <c r="E214" s="77"/>
      <c r="F214" s="10">
        <f t="shared" si="119"/>
        <v>196415.43999999997</v>
      </c>
      <c r="G214" s="10">
        <f t="shared" si="122"/>
        <v>196415.43999999997</v>
      </c>
      <c r="H214" s="10">
        <v>155017.76999999999</v>
      </c>
      <c r="I214" s="10">
        <v>11191.29</v>
      </c>
      <c r="J214" s="10">
        <v>7273.54</v>
      </c>
      <c r="K214" s="10">
        <v>3375.78</v>
      </c>
      <c r="L214" s="10">
        <v>4344.82</v>
      </c>
      <c r="M214" s="10">
        <v>1979.86</v>
      </c>
      <c r="N214" s="10">
        <v>971.06</v>
      </c>
      <c r="O214" s="10">
        <v>2560.86</v>
      </c>
      <c r="P214" s="10">
        <v>3375.78</v>
      </c>
      <c r="Q214" s="10">
        <v>4344.82</v>
      </c>
      <c r="R214" s="10">
        <v>1979.86</v>
      </c>
      <c r="S214" s="10"/>
      <c r="T214" s="7">
        <f t="shared" si="128"/>
        <v>196415.43999999997</v>
      </c>
      <c r="U214" s="8">
        <f t="shared" si="101"/>
        <v>0</v>
      </c>
      <c r="V214" s="8"/>
      <c r="Z214" s="10"/>
      <c r="AA214" s="8"/>
      <c r="AG214" s="8"/>
      <c r="AI214" s="8"/>
    </row>
    <row r="215" spans="2:35" ht="9.75" customHeight="1" x14ac:dyDescent="0.25">
      <c r="B215" s="64" t="s">
        <v>407</v>
      </c>
      <c r="C215" s="64" t="s">
        <v>408</v>
      </c>
      <c r="D215" s="8"/>
      <c r="E215" s="77"/>
      <c r="F215" s="10">
        <f t="shared" si="119"/>
        <v>671.5</v>
      </c>
      <c r="G215" s="10">
        <f t="shared" si="122"/>
        <v>671.5</v>
      </c>
      <c r="H215" s="10">
        <v>494.98</v>
      </c>
      <c r="I215" s="10">
        <v>0</v>
      </c>
      <c r="J215" s="10">
        <v>176.52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0</v>
      </c>
      <c r="S215" s="10"/>
      <c r="T215" s="7">
        <f t="shared" si="128"/>
        <v>671.5</v>
      </c>
      <c r="U215" s="8">
        <f t="shared" si="101"/>
        <v>0</v>
      </c>
      <c r="V215" s="8"/>
      <c r="Z215" s="10"/>
      <c r="AA215" s="8"/>
      <c r="AG215" s="8"/>
      <c r="AI215" s="8"/>
    </row>
    <row r="216" spans="2:35" ht="9.75" customHeight="1" x14ac:dyDescent="0.25">
      <c r="B216" s="64" t="s">
        <v>409</v>
      </c>
      <c r="C216" s="64" t="s">
        <v>410</v>
      </c>
      <c r="D216" s="8"/>
      <c r="E216" s="77"/>
      <c r="F216" s="10">
        <f t="shared" si="119"/>
        <v>16508.16</v>
      </c>
      <c r="G216" s="10">
        <f t="shared" si="122"/>
        <v>16508.16</v>
      </c>
      <c r="H216" s="10">
        <v>14227.2</v>
      </c>
      <c r="I216" s="10">
        <v>950.4</v>
      </c>
      <c r="J216" s="10">
        <v>190.08</v>
      </c>
      <c r="K216" s="10">
        <v>0</v>
      </c>
      <c r="L216" s="10">
        <v>190.08</v>
      </c>
      <c r="M216" s="10">
        <v>190.08</v>
      </c>
      <c r="N216" s="10">
        <v>0</v>
      </c>
      <c r="O216" s="10">
        <v>380.16</v>
      </c>
      <c r="P216" s="10">
        <v>0</v>
      </c>
      <c r="Q216" s="10">
        <v>190.08</v>
      </c>
      <c r="R216" s="10">
        <v>190.08</v>
      </c>
      <c r="S216" s="10"/>
      <c r="T216" s="7">
        <f t="shared" si="128"/>
        <v>16508.16</v>
      </c>
      <c r="U216" s="8">
        <f t="shared" si="101"/>
        <v>0</v>
      </c>
      <c r="V216" s="8"/>
      <c r="Z216" s="10"/>
      <c r="AA216" s="8"/>
      <c r="AG216" s="8"/>
      <c r="AI216" s="8"/>
    </row>
    <row r="217" spans="2:35" ht="9.75" customHeight="1" x14ac:dyDescent="0.25">
      <c r="B217" s="64" t="s">
        <v>411</v>
      </c>
      <c r="C217" s="64" t="s">
        <v>412</v>
      </c>
      <c r="D217" s="8"/>
      <c r="E217" s="77"/>
      <c r="F217" s="10">
        <f t="shared" si="119"/>
        <v>2332.56</v>
      </c>
      <c r="G217" s="10">
        <f t="shared" si="122"/>
        <v>2332.56</v>
      </c>
      <c r="H217" s="10">
        <v>2332.56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/>
      <c r="T217" s="7">
        <f t="shared" si="128"/>
        <v>2332.56</v>
      </c>
      <c r="U217" s="8">
        <f t="shared" si="101"/>
        <v>0</v>
      </c>
      <c r="V217" s="8"/>
      <c r="Z217" s="10"/>
      <c r="AA217" s="8"/>
      <c r="AG217" s="8"/>
      <c r="AI217" s="8"/>
    </row>
    <row r="218" spans="2:35" ht="9.75" customHeight="1" x14ac:dyDescent="0.25">
      <c r="B218" s="64" t="s">
        <v>413</v>
      </c>
      <c r="C218" s="64" t="s">
        <v>414</v>
      </c>
      <c r="D218" s="8"/>
      <c r="E218" s="77"/>
      <c r="F218" s="10">
        <f t="shared" si="119"/>
        <v>286.68</v>
      </c>
      <c r="G218" s="10">
        <f t="shared" si="122"/>
        <v>286.68</v>
      </c>
      <c r="H218" s="10">
        <v>286.68</v>
      </c>
      <c r="I218" s="10">
        <v>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/>
      <c r="T218" s="7">
        <f t="shared" si="128"/>
        <v>286.68</v>
      </c>
      <c r="U218" s="8">
        <f t="shared" si="101"/>
        <v>0</v>
      </c>
      <c r="V218" s="8"/>
      <c r="Z218" s="10"/>
      <c r="AA218" s="8"/>
      <c r="AG218" s="8"/>
      <c r="AI218" s="8"/>
    </row>
    <row r="219" spans="2:35" ht="9.75" customHeight="1" x14ac:dyDescent="0.25">
      <c r="B219" s="64" t="s">
        <v>415</v>
      </c>
      <c r="C219" s="64" t="s">
        <v>416</v>
      </c>
      <c r="D219" s="8"/>
      <c r="E219" s="77"/>
      <c r="F219" s="10">
        <f t="shared" si="119"/>
        <v>547.20000000000005</v>
      </c>
      <c r="G219" s="10">
        <f t="shared" si="122"/>
        <v>547.20000000000005</v>
      </c>
      <c r="H219" s="10">
        <v>547.20000000000005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10">
        <v>0</v>
      </c>
      <c r="S219" s="10"/>
      <c r="T219" s="7">
        <f t="shared" si="128"/>
        <v>547.20000000000005</v>
      </c>
      <c r="U219" s="8">
        <f t="shared" si="101"/>
        <v>0</v>
      </c>
      <c r="V219" s="8"/>
      <c r="Z219" s="10"/>
      <c r="AA219" s="8"/>
      <c r="AG219" s="8"/>
      <c r="AI219" s="8"/>
    </row>
    <row r="220" spans="2:35" ht="9.75" customHeight="1" x14ac:dyDescent="0.25">
      <c r="B220" s="64" t="s">
        <v>417</v>
      </c>
      <c r="C220" s="64" t="s">
        <v>418</v>
      </c>
      <c r="D220" s="8"/>
      <c r="E220" s="77"/>
      <c r="F220" s="10">
        <f t="shared" si="119"/>
        <v>4987.670000000001</v>
      </c>
      <c r="G220" s="10">
        <f t="shared" si="122"/>
        <v>4987.670000000001</v>
      </c>
      <c r="H220" s="10">
        <v>1876.32</v>
      </c>
      <c r="I220" s="10">
        <f>2.5*113.14</f>
        <v>282.85000000000002</v>
      </c>
      <c r="J220" s="10">
        <f t="shared" ref="J220:S220" si="129">2.5*113.14</f>
        <v>282.85000000000002</v>
      </c>
      <c r="K220" s="10">
        <f t="shared" si="129"/>
        <v>282.85000000000002</v>
      </c>
      <c r="L220" s="10">
        <f t="shared" si="129"/>
        <v>282.85000000000002</v>
      </c>
      <c r="M220" s="10">
        <f t="shared" si="129"/>
        <v>282.85000000000002</v>
      </c>
      <c r="N220" s="10">
        <f t="shared" si="129"/>
        <v>282.85000000000002</v>
      </c>
      <c r="O220" s="10">
        <f t="shared" si="129"/>
        <v>282.85000000000002</v>
      </c>
      <c r="P220" s="10">
        <f t="shared" si="129"/>
        <v>282.85000000000002</v>
      </c>
      <c r="Q220" s="10">
        <f t="shared" si="129"/>
        <v>282.85000000000002</v>
      </c>
      <c r="R220" s="10">
        <f t="shared" si="129"/>
        <v>282.85000000000002</v>
      </c>
      <c r="S220" s="10">
        <f t="shared" si="129"/>
        <v>282.85000000000002</v>
      </c>
      <c r="T220" s="7">
        <f t="shared" si="128"/>
        <v>4987.670000000001</v>
      </c>
      <c r="U220" s="8">
        <f t="shared" si="101"/>
        <v>0</v>
      </c>
      <c r="V220" s="8"/>
      <c r="Z220" s="10"/>
      <c r="AA220" s="8"/>
      <c r="AG220" s="8"/>
      <c r="AI220" s="8"/>
    </row>
    <row r="221" spans="2:35" ht="9.75" customHeight="1" x14ac:dyDescent="0.25">
      <c r="B221" s="64" t="s">
        <v>360</v>
      </c>
      <c r="C221" s="64" t="s">
        <v>419</v>
      </c>
      <c r="D221" s="8"/>
      <c r="E221" s="77"/>
      <c r="F221" s="10">
        <f t="shared" si="119"/>
        <v>1261.51</v>
      </c>
      <c r="G221" s="10">
        <f t="shared" si="122"/>
        <v>1261.51</v>
      </c>
      <c r="H221" s="10">
        <v>1261.51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10">
        <v>0</v>
      </c>
      <c r="S221" s="10">
        <v>0</v>
      </c>
      <c r="T221" s="7"/>
      <c r="U221" s="8"/>
      <c r="V221" s="8"/>
      <c r="Z221" s="10"/>
      <c r="AA221" s="8"/>
      <c r="AG221" s="8"/>
      <c r="AI221" s="8"/>
    </row>
    <row r="222" spans="2:35" ht="9.75" customHeight="1" x14ac:dyDescent="0.25">
      <c r="B222" s="64" t="s">
        <v>360</v>
      </c>
      <c r="C222" s="67" t="s">
        <v>420</v>
      </c>
      <c r="D222" s="64" t="s">
        <v>129</v>
      </c>
      <c r="E222" s="51">
        <f t="shared" ref="E222:E223" si="130">+F222-G222</f>
        <v>0</v>
      </c>
      <c r="F222" s="10">
        <f t="shared" si="119"/>
        <v>314.19</v>
      </c>
      <c r="G222" s="10">
        <f t="shared" ref="G222:G226" si="131">SUM(H222:S222)</f>
        <v>314.19</v>
      </c>
      <c r="H222" s="10">
        <v>106</v>
      </c>
      <c r="I222" s="10">
        <v>54.31</v>
      </c>
      <c r="J222" s="10">
        <v>54.3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10">
        <v>99.58</v>
      </c>
      <c r="S222" s="10">
        <v>0</v>
      </c>
      <c r="T222" s="7">
        <f t="shared" ref="T222:T223" si="132">SUM(H222:S222)</f>
        <v>314.19</v>
      </c>
      <c r="U222" s="8">
        <f t="shared" ref="U222:U223" si="133">+T222-G222</f>
        <v>0</v>
      </c>
      <c r="V222" s="8"/>
      <c r="Z222" s="10"/>
      <c r="AA222" s="8"/>
      <c r="AI222" s="8">
        <f t="shared" ref="AI222:AI223" si="134">+G222</f>
        <v>314.19</v>
      </c>
    </row>
    <row r="223" spans="2:35" ht="10.199999999999999" x14ac:dyDescent="0.25">
      <c r="B223" s="64" t="s">
        <v>360</v>
      </c>
      <c r="C223" s="67" t="s">
        <v>421</v>
      </c>
      <c r="D223" s="64" t="s">
        <v>129</v>
      </c>
      <c r="E223" s="51">
        <f t="shared" si="130"/>
        <v>0</v>
      </c>
      <c r="F223" s="10">
        <f t="shared" si="119"/>
        <v>1034.9100000000001</v>
      </c>
      <c r="G223" s="10">
        <f t="shared" si="131"/>
        <v>1034.9100000000001</v>
      </c>
      <c r="H223" s="10">
        <v>212</v>
      </c>
      <c r="I223" s="10">
        <v>108.6</v>
      </c>
      <c r="J223" s="10">
        <v>60</v>
      </c>
      <c r="K223" s="10">
        <v>164.3</v>
      </c>
      <c r="L223" s="10">
        <v>165</v>
      </c>
      <c r="M223" s="10">
        <v>110</v>
      </c>
      <c r="N223" s="10">
        <v>108.6</v>
      </c>
      <c r="O223" s="10">
        <v>54.3</v>
      </c>
      <c r="P223" s="10">
        <v>52.11</v>
      </c>
      <c r="Q223" s="10">
        <v>0</v>
      </c>
      <c r="R223" s="10">
        <v>0</v>
      </c>
      <c r="S223" s="10">
        <v>0</v>
      </c>
      <c r="T223" s="7">
        <f t="shared" si="132"/>
        <v>1034.9100000000001</v>
      </c>
      <c r="U223" s="8">
        <f t="shared" si="133"/>
        <v>0</v>
      </c>
      <c r="V223" s="8"/>
      <c r="Z223" s="10"/>
      <c r="AA223" s="8"/>
      <c r="AG223" s="10">
        <f>431.78*1.03</f>
        <v>444.73339999999996</v>
      </c>
      <c r="AH223" s="61">
        <f t="shared" ref="AH223" si="135">+AG223-G223</f>
        <v>-590.17660000000012</v>
      </c>
      <c r="AI223" s="8">
        <f t="shared" si="134"/>
        <v>1034.9100000000001</v>
      </c>
    </row>
    <row r="224" spans="2:35" ht="10.199999999999999" x14ac:dyDescent="0.25">
      <c r="B224" s="64" t="s">
        <v>360</v>
      </c>
      <c r="C224" s="67" t="s">
        <v>422</v>
      </c>
      <c r="D224" s="64"/>
      <c r="F224" s="10">
        <f t="shared" si="119"/>
        <v>100</v>
      </c>
      <c r="G224" s="10">
        <f t="shared" si="131"/>
        <v>100</v>
      </c>
      <c r="H224" s="10">
        <v>100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7"/>
      <c r="U224" s="8"/>
      <c r="V224" s="8"/>
      <c r="Z224" s="10"/>
      <c r="AA224" s="8"/>
      <c r="AI224" s="8"/>
    </row>
    <row r="225" spans="2:35" ht="21" customHeight="1" x14ac:dyDescent="0.25">
      <c r="B225" s="64" t="s">
        <v>360</v>
      </c>
      <c r="C225" s="78" t="s">
        <v>423</v>
      </c>
      <c r="D225" s="64"/>
      <c r="F225" s="10">
        <f t="shared" si="119"/>
        <v>396</v>
      </c>
      <c r="G225" s="10">
        <f t="shared" si="131"/>
        <v>396</v>
      </c>
      <c r="H225" s="10">
        <v>198</v>
      </c>
      <c r="I225" s="10">
        <v>198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7"/>
      <c r="U225" s="8"/>
      <c r="V225" s="8"/>
      <c r="Z225" s="10"/>
      <c r="AA225" s="8"/>
      <c r="AI225" s="8"/>
    </row>
    <row r="226" spans="2:35" ht="19.5" customHeight="1" x14ac:dyDescent="0.25">
      <c r="B226" s="64" t="s">
        <v>360</v>
      </c>
      <c r="C226" s="78" t="s">
        <v>424</v>
      </c>
      <c r="D226" s="64"/>
      <c r="F226" s="10">
        <f t="shared" si="119"/>
        <v>792</v>
      </c>
      <c r="G226" s="10">
        <f t="shared" si="131"/>
        <v>792</v>
      </c>
      <c r="H226" s="10">
        <v>396</v>
      </c>
      <c r="I226" s="10">
        <v>396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7"/>
      <c r="U226" s="8"/>
      <c r="V226" s="8"/>
      <c r="Z226" s="10"/>
      <c r="AA226" s="8"/>
      <c r="AI226" s="8"/>
    </row>
    <row r="227" spans="2:35" ht="9.75" customHeight="1" x14ac:dyDescent="0.25">
      <c r="B227" s="64" t="s">
        <v>425</v>
      </c>
      <c r="C227" s="64" t="s">
        <v>426</v>
      </c>
      <c r="D227" s="8"/>
      <c r="E227" s="77"/>
      <c r="F227" s="10">
        <f t="shared" si="119"/>
        <v>0</v>
      </c>
      <c r="G227" s="10">
        <f t="shared" si="122"/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  <c r="M227" s="10">
        <v>0</v>
      </c>
      <c r="N227" s="10"/>
      <c r="O227" s="10"/>
      <c r="P227" s="10">
        <v>0</v>
      </c>
      <c r="Q227" s="10">
        <v>0</v>
      </c>
      <c r="R227" s="10">
        <v>0</v>
      </c>
      <c r="S227" s="10">
        <v>0</v>
      </c>
      <c r="T227" s="7">
        <f t="shared" si="128"/>
        <v>0</v>
      </c>
      <c r="U227" s="8">
        <f t="shared" ref="U227:U296" si="136">+T227-G227</f>
        <v>0</v>
      </c>
      <c r="V227" s="8"/>
      <c r="Z227" s="10"/>
      <c r="AA227" s="8"/>
      <c r="AG227" s="8"/>
      <c r="AI227" s="8"/>
    </row>
    <row r="228" spans="2:35" ht="9.75" customHeight="1" x14ac:dyDescent="0.25">
      <c r="B228" s="62" t="s">
        <v>427</v>
      </c>
      <c r="C228" s="80" t="s">
        <v>428</v>
      </c>
      <c r="D228" s="80"/>
      <c r="E228" s="51">
        <f t="shared" ref="E228:E230" si="137">SUM(H228:S228)-G228</f>
        <v>0</v>
      </c>
      <c r="F228" s="10"/>
      <c r="G228" s="63">
        <f>+G229</f>
        <v>1097068.24</v>
      </c>
      <c r="H228" s="63">
        <f t="shared" ref="H228:S228" si="138">+H229</f>
        <v>141799.85999999999</v>
      </c>
      <c r="I228" s="63">
        <f t="shared" si="138"/>
        <v>58194.77</v>
      </c>
      <c r="J228" s="63">
        <f t="shared" si="138"/>
        <v>116776.34</v>
      </c>
      <c r="K228" s="63">
        <f t="shared" si="138"/>
        <v>35305</v>
      </c>
      <c r="L228" s="63">
        <f t="shared" si="138"/>
        <v>156997.63</v>
      </c>
      <c r="M228" s="63">
        <f t="shared" si="138"/>
        <v>37072</v>
      </c>
      <c r="N228" s="63">
        <f t="shared" si="138"/>
        <v>178833.16</v>
      </c>
      <c r="O228" s="63">
        <f t="shared" si="138"/>
        <v>41089</v>
      </c>
      <c r="P228" s="63">
        <f t="shared" si="138"/>
        <v>124411.24</v>
      </c>
      <c r="Q228" s="63">
        <f t="shared" si="138"/>
        <v>41089</v>
      </c>
      <c r="R228" s="63">
        <f t="shared" si="138"/>
        <v>124411.24</v>
      </c>
      <c r="S228" s="63">
        <f t="shared" si="138"/>
        <v>41089</v>
      </c>
      <c r="T228" s="7">
        <f t="shared" si="128"/>
        <v>1097068.24</v>
      </c>
      <c r="U228" s="8">
        <f t="shared" si="136"/>
        <v>0</v>
      </c>
      <c r="V228" s="8"/>
      <c r="Z228" s="10"/>
      <c r="AA228" s="8"/>
      <c r="AG228" s="8"/>
      <c r="AI228" s="8"/>
    </row>
    <row r="229" spans="2:35" ht="9.75" customHeight="1" x14ac:dyDescent="0.25">
      <c r="B229" s="64" t="s">
        <v>429</v>
      </c>
      <c r="C229" s="64" t="s">
        <v>430</v>
      </c>
      <c r="D229" s="64" t="s">
        <v>431</v>
      </c>
      <c r="E229" s="51">
        <f t="shared" ref="E229:E250" si="139">+F229-G229</f>
        <v>0</v>
      </c>
      <c r="F229" s="10">
        <f t="shared" ref="F229:F300" si="140">+G229</f>
        <v>1097068.24</v>
      </c>
      <c r="G229" s="10">
        <f t="shared" ref="G229" si="141">SUM(H229:S229)</f>
        <v>1097068.24</v>
      </c>
      <c r="H229" s="10">
        <v>141799.85999999999</v>
      </c>
      <c r="I229" s="10">
        <v>58194.77</v>
      </c>
      <c r="J229" s="10">
        <v>116776.34</v>
      </c>
      <c r="K229" s="10">
        <v>35305</v>
      </c>
      <c r="L229" s="10">
        <v>156997.63</v>
      </c>
      <c r="M229" s="10">
        <v>37072</v>
      </c>
      <c r="N229" s="10">
        <v>178833.16</v>
      </c>
      <c r="O229" s="10">
        <v>41089</v>
      </c>
      <c r="P229" s="10">
        <v>124411.24</v>
      </c>
      <c r="Q229" s="10">
        <v>41089</v>
      </c>
      <c r="R229" s="10">
        <v>124411.24</v>
      </c>
      <c r="S229" s="10">
        <v>41089</v>
      </c>
      <c r="T229" s="7">
        <f t="shared" si="128"/>
        <v>1097068.24</v>
      </c>
      <c r="U229" s="8">
        <f t="shared" si="136"/>
        <v>0</v>
      </c>
      <c r="V229" s="8"/>
      <c r="Z229" s="10"/>
      <c r="AA229" s="8"/>
      <c r="AG229" s="8"/>
      <c r="AI229" s="8"/>
    </row>
    <row r="230" spans="2:35" ht="9.75" customHeight="1" x14ac:dyDescent="0.25">
      <c r="B230" s="62" t="s">
        <v>432</v>
      </c>
      <c r="C230" s="62" t="s">
        <v>433</v>
      </c>
      <c r="D230" s="62"/>
      <c r="E230" s="51">
        <f t="shared" si="137"/>
        <v>0</v>
      </c>
      <c r="F230" s="10"/>
      <c r="G230" s="63">
        <f>SUM(G231:G235)</f>
        <v>1145</v>
      </c>
      <c r="H230" s="63">
        <f t="shared" ref="H230:S230" si="142">SUM(H231:H235)</f>
        <v>0</v>
      </c>
      <c r="I230" s="63">
        <f t="shared" si="142"/>
        <v>0</v>
      </c>
      <c r="J230" s="63">
        <f t="shared" si="142"/>
        <v>0</v>
      </c>
      <c r="K230" s="63">
        <f t="shared" si="142"/>
        <v>30</v>
      </c>
      <c r="L230" s="63">
        <f t="shared" si="142"/>
        <v>30</v>
      </c>
      <c r="M230" s="63">
        <f t="shared" si="142"/>
        <v>0</v>
      </c>
      <c r="N230" s="63">
        <f t="shared" si="142"/>
        <v>0</v>
      </c>
      <c r="O230" s="63">
        <f t="shared" si="142"/>
        <v>0</v>
      </c>
      <c r="P230" s="63">
        <f t="shared" si="142"/>
        <v>1085</v>
      </c>
      <c r="Q230" s="63">
        <f t="shared" si="142"/>
        <v>0</v>
      </c>
      <c r="R230" s="63">
        <f t="shared" si="142"/>
        <v>0</v>
      </c>
      <c r="S230" s="63">
        <f t="shared" si="142"/>
        <v>0</v>
      </c>
      <c r="T230" s="7">
        <f t="shared" si="128"/>
        <v>1145</v>
      </c>
      <c r="U230" s="8">
        <f t="shared" si="136"/>
        <v>0</v>
      </c>
      <c r="V230" s="8"/>
      <c r="Z230" s="63"/>
      <c r="AA230" s="8"/>
      <c r="AI230" s="8"/>
    </row>
    <row r="231" spans="2:35" ht="24" customHeight="1" x14ac:dyDescent="0.25">
      <c r="B231" s="64" t="s">
        <v>434</v>
      </c>
      <c r="C231" s="73" t="s">
        <v>435</v>
      </c>
      <c r="D231" s="73" t="s">
        <v>30</v>
      </c>
      <c r="E231" s="51">
        <f t="shared" si="139"/>
        <v>0</v>
      </c>
      <c r="F231" s="10">
        <f t="shared" si="140"/>
        <v>1060</v>
      </c>
      <c r="G231" s="10">
        <f>SUM(H231:S231)</f>
        <v>1060</v>
      </c>
      <c r="H231" s="10">
        <v>0</v>
      </c>
      <c r="I231" s="10">
        <v>0</v>
      </c>
      <c r="J231" s="10">
        <v>0</v>
      </c>
      <c r="K231" s="10">
        <v>30</v>
      </c>
      <c r="L231" s="10">
        <v>30</v>
      </c>
      <c r="M231" s="10">
        <v>0</v>
      </c>
      <c r="N231" s="10"/>
      <c r="O231" s="10"/>
      <c r="P231" s="10">
        <v>1000</v>
      </c>
      <c r="Q231" s="10">
        <v>0</v>
      </c>
      <c r="R231" s="10">
        <v>0</v>
      </c>
      <c r="S231" s="10">
        <v>0</v>
      </c>
      <c r="T231" s="7">
        <f t="shared" si="128"/>
        <v>1060</v>
      </c>
      <c r="U231" s="8">
        <f t="shared" si="136"/>
        <v>0</v>
      </c>
      <c r="V231" s="8"/>
      <c r="Z231" s="10"/>
      <c r="AA231" s="8"/>
      <c r="AI231" s="8">
        <f>+G231</f>
        <v>1060</v>
      </c>
    </row>
    <row r="232" spans="2:35" ht="12.75" customHeight="1" x14ac:dyDescent="0.25">
      <c r="B232" s="67" t="s">
        <v>436</v>
      </c>
      <c r="C232" s="67" t="s">
        <v>437</v>
      </c>
      <c r="D232" s="73" t="s">
        <v>30</v>
      </c>
      <c r="E232" s="51">
        <f t="shared" si="139"/>
        <v>0</v>
      </c>
      <c r="F232" s="10">
        <f t="shared" si="140"/>
        <v>0</v>
      </c>
      <c r="G232" s="10">
        <f>SUM(H232:S232)</f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  <c r="M232" s="10">
        <v>0</v>
      </c>
      <c r="N232" s="10"/>
      <c r="O232" s="10"/>
      <c r="P232" s="10">
        <v>0</v>
      </c>
      <c r="Q232" s="10">
        <v>0</v>
      </c>
      <c r="R232" s="10">
        <v>0</v>
      </c>
      <c r="S232" s="10">
        <v>0</v>
      </c>
      <c r="T232" s="7">
        <f t="shared" si="128"/>
        <v>0</v>
      </c>
      <c r="U232" s="8">
        <f t="shared" si="136"/>
        <v>0</v>
      </c>
      <c r="V232" s="8"/>
      <c r="Z232" s="10"/>
      <c r="AA232" s="8"/>
      <c r="AI232" s="8"/>
    </row>
    <row r="233" spans="2:35" ht="14.25" customHeight="1" x14ac:dyDescent="0.25">
      <c r="B233" s="64" t="s">
        <v>438</v>
      </c>
      <c r="C233" s="64" t="s">
        <v>439</v>
      </c>
      <c r="D233" s="73" t="s">
        <v>30</v>
      </c>
      <c r="E233" s="51">
        <f t="shared" si="139"/>
        <v>0</v>
      </c>
      <c r="F233" s="10">
        <f t="shared" si="140"/>
        <v>0</v>
      </c>
      <c r="G233" s="10">
        <f>SUM(H233:S233)</f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/>
      <c r="O233" s="10"/>
      <c r="P233" s="10">
        <v>0</v>
      </c>
      <c r="Q233" s="10">
        <v>0</v>
      </c>
      <c r="R233" s="10">
        <v>0</v>
      </c>
      <c r="S233" s="10">
        <v>0</v>
      </c>
      <c r="T233" s="7">
        <f t="shared" si="128"/>
        <v>0</v>
      </c>
      <c r="U233" s="8">
        <f t="shared" si="136"/>
        <v>0</v>
      </c>
      <c r="V233" s="8"/>
      <c r="Z233" s="10">
        <v>81221.94</v>
      </c>
      <c r="AA233" s="8">
        <f t="shared" si="97"/>
        <v>81221.94</v>
      </c>
      <c r="AI233" s="8">
        <f>+G233</f>
        <v>0</v>
      </c>
    </row>
    <row r="234" spans="2:35" ht="9.75" customHeight="1" x14ac:dyDescent="0.25">
      <c r="B234" s="64" t="s">
        <v>440</v>
      </c>
      <c r="C234" s="64" t="s">
        <v>441</v>
      </c>
      <c r="D234" s="73" t="s">
        <v>30</v>
      </c>
      <c r="E234" s="51">
        <f t="shared" si="139"/>
        <v>0</v>
      </c>
      <c r="F234" s="10">
        <f t="shared" si="140"/>
        <v>85</v>
      </c>
      <c r="G234" s="10">
        <f>SUM(H234:S234)</f>
        <v>85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/>
      <c r="O234" s="10"/>
      <c r="P234" s="10">
        <v>85</v>
      </c>
      <c r="Q234" s="10">
        <v>0</v>
      </c>
      <c r="R234" s="10">
        <v>0</v>
      </c>
      <c r="S234" s="10">
        <v>0</v>
      </c>
      <c r="T234" s="7">
        <f t="shared" si="128"/>
        <v>85</v>
      </c>
      <c r="U234" s="8">
        <f t="shared" si="136"/>
        <v>0</v>
      </c>
      <c r="V234" s="8"/>
      <c r="Z234" s="10"/>
      <c r="AA234" s="8"/>
      <c r="AI234" s="8"/>
    </row>
    <row r="235" spans="2:35" ht="9.75" customHeight="1" x14ac:dyDescent="0.25">
      <c r="B235" s="64" t="s">
        <v>442</v>
      </c>
      <c r="C235" s="64" t="s">
        <v>443</v>
      </c>
      <c r="D235" s="73" t="s">
        <v>30</v>
      </c>
      <c r="E235" s="51">
        <f t="shared" si="139"/>
        <v>0</v>
      </c>
      <c r="F235" s="10">
        <f t="shared" si="140"/>
        <v>0</v>
      </c>
      <c r="G235" s="10">
        <f>SUM(H235:S235)</f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7">
        <f t="shared" si="128"/>
        <v>0</v>
      </c>
      <c r="U235" s="8">
        <f t="shared" si="136"/>
        <v>0</v>
      </c>
      <c r="V235" s="8"/>
      <c r="Z235" s="10"/>
      <c r="AA235" s="8"/>
      <c r="AI235" s="8"/>
    </row>
    <row r="236" spans="2:35" ht="9.75" customHeight="1" x14ac:dyDescent="0.25">
      <c r="B236" s="62" t="s">
        <v>444</v>
      </c>
      <c r="C236" s="62" t="s">
        <v>445</v>
      </c>
      <c r="D236" s="62"/>
      <c r="E236" s="51">
        <f t="shared" ref="E236" si="143">SUM(H236:S236)-G236</f>
        <v>0</v>
      </c>
      <c r="F236" s="10"/>
      <c r="G236" s="63">
        <f>SUM(G237:G239)</f>
        <v>1491.3</v>
      </c>
      <c r="H236" s="63">
        <f t="shared" ref="H236:S236" si="144">SUM(H237:H239)</f>
        <v>0</v>
      </c>
      <c r="I236" s="63">
        <f t="shared" si="144"/>
        <v>0</v>
      </c>
      <c r="J236" s="63">
        <f t="shared" si="144"/>
        <v>0</v>
      </c>
      <c r="K236" s="63">
        <f t="shared" si="144"/>
        <v>0</v>
      </c>
      <c r="L236" s="63">
        <f t="shared" si="144"/>
        <v>0</v>
      </c>
      <c r="M236" s="63">
        <f t="shared" si="144"/>
        <v>0</v>
      </c>
      <c r="N236" s="63">
        <f t="shared" si="144"/>
        <v>0</v>
      </c>
      <c r="O236" s="63">
        <f t="shared" si="144"/>
        <v>0</v>
      </c>
      <c r="P236" s="63">
        <f t="shared" si="144"/>
        <v>0</v>
      </c>
      <c r="Q236" s="63">
        <f t="shared" si="144"/>
        <v>1491.3</v>
      </c>
      <c r="R236" s="63">
        <f t="shared" si="144"/>
        <v>0</v>
      </c>
      <c r="S236" s="63">
        <f t="shared" si="144"/>
        <v>0</v>
      </c>
      <c r="T236" s="7">
        <f t="shared" si="128"/>
        <v>1491.3</v>
      </c>
      <c r="U236" s="8">
        <f t="shared" si="136"/>
        <v>0</v>
      </c>
      <c r="V236" s="8"/>
      <c r="Z236" s="63"/>
      <c r="AA236" s="8"/>
      <c r="AI236" s="8"/>
    </row>
    <row r="237" spans="2:35" ht="9.75" customHeight="1" x14ac:dyDescent="0.25">
      <c r="B237" s="64" t="s">
        <v>446</v>
      </c>
      <c r="C237" s="64" t="s">
        <v>447</v>
      </c>
      <c r="D237" s="64" t="s">
        <v>448</v>
      </c>
      <c r="E237" s="51">
        <f t="shared" si="139"/>
        <v>0</v>
      </c>
      <c r="F237" s="10">
        <f t="shared" si="140"/>
        <v>417.39</v>
      </c>
      <c r="G237" s="10">
        <f>SUM(H237:S237)</f>
        <v>417.39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417.39</v>
      </c>
      <c r="R237" s="10">
        <v>0</v>
      </c>
      <c r="S237" s="10">
        <v>0</v>
      </c>
      <c r="T237" s="7">
        <f t="shared" si="128"/>
        <v>417.39</v>
      </c>
      <c r="U237" s="8">
        <f t="shared" si="136"/>
        <v>0</v>
      </c>
      <c r="V237" s="8"/>
      <c r="Z237" s="10"/>
      <c r="AA237" s="8"/>
      <c r="AI237" s="8">
        <f>+G237</f>
        <v>417.39</v>
      </c>
    </row>
    <row r="238" spans="2:35" ht="9.75" customHeight="1" x14ac:dyDescent="0.25">
      <c r="B238" s="64" t="s">
        <v>449</v>
      </c>
      <c r="C238" s="64" t="s">
        <v>450</v>
      </c>
      <c r="D238" s="64" t="s">
        <v>448</v>
      </c>
      <c r="E238" s="51">
        <f t="shared" si="139"/>
        <v>0</v>
      </c>
      <c r="F238" s="10">
        <f t="shared" si="140"/>
        <v>573.91</v>
      </c>
      <c r="G238" s="10">
        <f>SUM(H238:S238)</f>
        <v>573.91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573.91</v>
      </c>
      <c r="R238" s="10">
        <v>0</v>
      </c>
      <c r="S238" s="10">
        <v>0</v>
      </c>
      <c r="T238" s="7">
        <f t="shared" si="128"/>
        <v>573.91</v>
      </c>
      <c r="U238" s="8">
        <f t="shared" si="136"/>
        <v>0</v>
      </c>
      <c r="V238" s="8"/>
      <c r="Z238" s="10"/>
      <c r="AA238" s="8"/>
      <c r="AI238" s="8">
        <f>+G238</f>
        <v>573.91</v>
      </c>
    </row>
    <row r="239" spans="2:35" ht="9.75" customHeight="1" x14ac:dyDescent="0.25">
      <c r="B239" s="64" t="s">
        <v>451</v>
      </c>
      <c r="C239" s="64" t="s">
        <v>452</v>
      </c>
      <c r="D239" s="64" t="s">
        <v>448</v>
      </c>
      <c r="E239" s="51">
        <f t="shared" si="139"/>
        <v>0</v>
      </c>
      <c r="F239" s="10">
        <f t="shared" si="140"/>
        <v>500</v>
      </c>
      <c r="G239" s="10">
        <f>SUM(H239:S239)</f>
        <v>500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500</v>
      </c>
      <c r="R239" s="10">
        <v>0</v>
      </c>
      <c r="S239" s="10">
        <v>0</v>
      </c>
      <c r="T239" s="7">
        <f t="shared" si="128"/>
        <v>500</v>
      </c>
      <c r="U239" s="8">
        <f t="shared" si="136"/>
        <v>0</v>
      </c>
      <c r="V239" s="8"/>
      <c r="Z239" s="10"/>
      <c r="AA239" s="8"/>
      <c r="AI239" s="8">
        <f>+G239</f>
        <v>500</v>
      </c>
    </row>
    <row r="240" spans="2:35" ht="9.75" customHeight="1" x14ac:dyDescent="0.25">
      <c r="B240" s="62" t="s">
        <v>453</v>
      </c>
      <c r="C240" s="62" t="s">
        <v>454</v>
      </c>
      <c r="D240" s="62"/>
      <c r="E240" s="51">
        <f t="shared" ref="E240" si="145">SUM(H240:S240)-G240</f>
        <v>0</v>
      </c>
      <c r="F240" s="10"/>
      <c r="G240" s="63">
        <f>+G241+G251+G267+G299+G301+G328+G362+G371+G396+G401+G393+G404</f>
        <v>1540800.041</v>
      </c>
      <c r="H240" s="63">
        <f t="shared" ref="H240:S240" si="146">+H241+H251+H267+H299+H301+H328+H362+H371+H396+H401+H393+H404</f>
        <v>294515.70100000006</v>
      </c>
      <c r="I240" s="63">
        <f t="shared" si="146"/>
        <v>141670.80000000002</v>
      </c>
      <c r="J240" s="63">
        <f t="shared" si="146"/>
        <v>211536.53</v>
      </c>
      <c r="K240" s="63">
        <f t="shared" si="146"/>
        <v>130414.08</v>
      </c>
      <c r="L240" s="63">
        <f t="shared" si="146"/>
        <v>134654.10999999999</v>
      </c>
      <c r="M240" s="63">
        <f t="shared" si="146"/>
        <v>115072.92000000003</v>
      </c>
      <c r="N240" s="63">
        <f t="shared" si="146"/>
        <v>115360.65</v>
      </c>
      <c r="O240" s="63">
        <f t="shared" si="146"/>
        <v>108636.72</v>
      </c>
      <c r="P240" s="63">
        <f t="shared" si="146"/>
        <v>79444.81</v>
      </c>
      <c r="Q240" s="63">
        <f t="shared" si="146"/>
        <v>68996.34</v>
      </c>
      <c r="R240" s="63">
        <f t="shared" si="146"/>
        <v>66022.39</v>
      </c>
      <c r="S240" s="63">
        <f t="shared" si="146"/>
        <v>74474.990000000005</v>
      </c>
      <c r="T240" s="7">
        <f t="shared" si="128"/>
        <v>1540800.041</v>
      </c>
      <c r="U240" s="8">
        <f t="shared" si="136"/>
        <v>0</v>
      </c>
      <c r="V240" s="8"/>
      <c r="Z240" s="63"/>
      <c r="AA240" s="8"/>
      <c r="AI240" s="8"/>
    </row>
    <row r="241" spans="2:35" ht="13.2" x14ac:dyDescent="0.25">
      <c r="B241" s="62" t="s">
        <v>455</v>
      </c>
      <c r="C241" s="72" t="s">
        <v>456</v>
      </c>
      <c r="D241" s="62"/>
      <c r="E241" s="51">
        <f t="shared" si="139"/>
        <v>-56178.270000000004</v>
      </c>
      <c r="F241" s="10"/>
      <c r="G241" s="63">
        <f>SUM(G242:G250)</f>
        <v>56178.270000000004</v>
      </c>
      <c r="H241" s="63">
        <f t="shared" ref="H241:S241" si="147">SUM(H242:H250)</f>
        <v>30560.32</v>
      </c>
      <c r="I241" s="63">
        <f t="shared" si="147"/>
        <v>4781.03</v>
      </c>
      <c r="J241" s="63">
        <f t="shared" si="147"/>
        <v>735.41</v>
      </c>
      <c r="K241" s="63">
        <f t="shared" si="147"/>
        <v>4781.03</v>
      </c>
      <c r="L241" s="63">
        <f t="shared" si="147"/>
        <v>282.85000000000002</v>
      </c>
      <c r="M241" s="63">
        <f t="shared" si="147"/>
        <v>735.41</v>
      </c>
      <c r="N241" s="63">
        <f t="shared" si="147"/>
        <v>11523.380000000001</v>
      </c>
      <c r="O241" s="63">
        <f t="shared" si="147"/>
        <v>2778.84</v>
      </c>
      <c r="P241" s="63">
        <f t="shared" si="147"/>
        <v>0</v>
      </c>
      <c r="Q241" s="63">
        <f t="shared" si="147"/>
        <v>0</v>
      </c>
      <c r="R241" s="63">
        <f t="shared" si="147"/>
        <v>0</v>
      </c>
      <c r="S241" s="63">
        <f t="shared" si="147"/>
        <v>0</v>
      </c>
      <c r="T241" s="7">
        <f t="shared" si="128"/>
        <v>56178.270000000004</v>
      </c>
      <c r="U241" s="8">
        <f t="shared" si="136"/>
        <v>0</v>
      </c>
      <c r="V241" s="8"/>
      <c r="Z241" s="63">
        <f>SUM(Z243:Z249)</f>
        <v>44753.39</v>
      </c>
      <c r="AA241" s="8">
        <f t="shared" si="97"/>
        <v>-11424.880000000005</v>
      </c>
      <c r="AI241" s="8"/>
    </row>
    <row r="242" spans="2:35" ht="9.75" customHeight="1" x14ac:dyDescent="0.25">
      <c r="B242" s="67" t="s">
        <v>457</v>
      </c>
      <c r="C242" s="67" t="s">
        <v>458</v>
      </c>
      <c r="D242" s="67" t="s">
        <v>459</v>
      </c>
      <c r="E242" s="51">
        <f t="shared" si="139"/>
        <v>0</v>
      </c>
      <c r="F242" s="10">
        <f t="shared" si="140"/>
        <v>0</v>
      </c>
      <c r="G242" s="10">
        <f t="shared" ref="G242:G250" si="148">SUM(H242:S242)</f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  <c r="T242" s="7">
        <f t="shared" si="128"/>
        <v>0</v>
      </c>
      <c r="U242" s="8">
        <f t="shared" si="136"/>
        <v>0</v>
      </c>
      <c r="V242" s="8"/>
      <c r="Z242" s="63"/>
      <c r="AA242" s="8"/>
      <c r="AI242" s="8"/>
    </row>
    <row r="243" spans="2:35" ht="9.75" customHeight="1" x14ac:dyDescent="0.25">
      <c r="B243" s="64" t="s">
        <v>460</v>
      </c>
      <c r="C243" s="64" t="s">
        <v>461</v>
      </c>
      <c r="D243" s="67" t="s">
        <v>459</v>
      </c>
      <c r="E243" s="51">
        <f t="shared" si="139"/>
        <v>0</v>
      </c>
      <c r="F243" s="10">
        <f t="shared" si="140"/>
        <v>0</v>
      </c>
      <c r="G243" s="10">
        <f t="shared" si="148"/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  <c r="T243" s="7">
        <f t="shared" si="128"/>
        <v>0</v>
      </c>
      <c r="U243" s="8">
        <f t="shared" si="136"/>
        <v>0</v>
      </c>
      <c r="V243" s="8"/>
      <c r="Z243" s="10">
        <v>0</v>
      </c>
      <c r="AA243" s="8">
        <f t="shared" si="97"/>
        <v>0</v>
      </c>
      <c r="AI243" s="8">
        <f t="shared" ref="AI243:AI249" si="149">+G243</f>
        <v>0</v>
      </c>
    </row>
    <row r="244" spans="2:35" ht="9.75" customHeight="1" x14ac:dyDescent="0.25">
      <c r="B244" s="64" t="s">
        <v>462</v>
      </c>
      <c r="C244" s="64" t="s">
        <v>463</v>
      </c>
      <c r="D244" s="67" t="s">
        <v>459</v>
      </c>
      <c r="E244" s="51">
        <f t="shared" si="139"/>
        <v>0</v>
      </c>
      <c r="F244" s="10">
        <f t="shared" si="140"/>
        <v>0</v>
      </c>
      <c r="G244" s="10">
        <f t="shared" si="148"/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  <c r="T244" s="7">
        <f t="shared" si="128"/>
        <v>0</v>
      </c>
      <c r="U244" s="8">
        <f t="shared" si="136"/>
        <v>0</v>
      </c>
      <c r="V244" s="8"/>
      <c r="Z244" s="10">
        <v>0</v>
      </c>
      <c r="AA244" s="8">
        <f t="shared" si="97"/>
        <v>0</v>
      </c>
      <c r="AI244" s="8">
        <f t="shared" si="149"/>
        <v>0</v>
      </c>
    </row>
    <row r="245" spans="2:35" ht="9.75" customHeight="1" x14ac:dyDescent="0.25">
      <c r="B245" s="64" t="s">
        <v>464</v>
      </c>
      <c r="C245" s="64" t="s">
        <v>465</v>
      </c>
      <c r="D245" s="67" t="s">
        <v>459</v>
      </c>
      <c r="E245" s="51">
        <f t="shared" si="139"/>
        <v>0</v>
      </c>
      <c r="F245" s="10">
        <f t="shared" si="140"/>
        <v>0</v>
      </c>
      <c r="G245" s="10">
        <f t="shared" si="148"/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7">
        <f t="shared" si="128"/>
        <v>0</v>
      </c>
      <c r="U245" s="8">
        <f t="shared" si="136"/>
        <v>0</v>
      </c>
      <c r="V245" s="8"/>
      <c r="Z245" s="10">
        <v>0</v>
      </c>
      <c r="AA245" s="8">
        <f t="shared" si="97"/>
        <v>0</v>
      </c>
      <c r="AI245" s="8">
        <f t="shared" si="149"/>
        <v>0</v>
      </c>
    </row>
    <row r="246" spans="2:35" ht="9.75" customHeight="1" x14ac:dyDescent="0.25">
      <c r="B246" s="67" t="s">
        <v>466</v>
      </c>
      <c r="C246" s="67" t="s">
        <v>467</v>
      </c>
      <c r="D246" s="67" t="s">
        <v>459</v>
      </c>
      <c r="E246" s="51">
        <f t="shared" si="139"/>
        <v>0</v>
      </c>
      <c r="F246" s="10">
        <f t="shared" si="140"/>
        <v>0</v>
      </c>
      <c r="G246" s="10">
        <f t="shared" si="148"/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  <c r="T246" s="7">
        <f t="shared" si="128"/>
        <v>0</v>
      </c>
      <c r="U246" s="8">
        <f t="shared" si="136"/>
        <v>0</v>
      </c>
      <c r="V246" s="8"/>
      <c r="Z246" s="10"/>
      <c r="AA246" s="8"/>
      <c r="AI246" s="8"/>
    </row>
    <row r="247" spans="2:35" ht="9.75" customHeight="1" x14ac:dyDescent="0.25">
      <c r="B247" s="64" t="s">
        <v>468</v>
      </c>
      <c r="C247" s="64" t="s">
        <v>469</v>
      </c>
      <c r="D247" s="67" t="s">
        <v>459</v>
      </c>
      <c r="E247" s="51">
        <f t="shared" si="139"/>
        <v>0</v>
      </c>
      <c r="F247" s="10">
        <f t="shared" si="140"/>
        <v>0</v>
      </c>
      <c r="G247" s="10">
        <f t="shared" si="148"/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7">
        <f t="shared" si="128"/>
        <v>0</v>
      </c>
      <c r="U247" s="8">
        <f t="shared" si="136"/>
        <v>0</v>
      </c>
      <c r="V247" s="8"/>
      <c r="Z247" s="10">
        <v>0</v>
      </c>
      <c r="AA247" s="8">
        <f t="shared" si="97"/>
        <v>0</v>
      </c>
      <c r="AI247" s="8">
        <f t="shared" si="149"/>
        <v>0</v>
      </c>
    </row>
    <row r="248" spans="2:35" ht="9.75" customHeight="1" x14ac:dyDescent="0.25">
      <c r="B248" s="64" t="s">
        <v>470</v>
      </c>
      <c r="C248" s="64" t="s">
        <v>471</v>
      </c>
      <c r="D248" s="67" t="s">
        <v>459</v>
      </c>
      <c r="E248" s="51">
        <f t="shared" si="139"/>
        <v>0</v>
      </c>
      <c r="F248" s="10">
        <f t="shared" si="140"/>
        <v>0</v>
      </c>
      <c r="G248" s="10">
        <f t="shared" si="148"/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7">
        <f t="shared" si="128"/>
        <v>0</v>
      </c>
      <c r="U248" s="8">
        <f t="shared" si="136"/>
        <v>0</v>
      </c>
      <c r="V248" s="8"/>
      <c r="Z248" s="10">
        <v>0</v>
      </c>
      <c r="AA248" s="8">
        <f t="shared" si="97"/>
        <v>0</v>
      </c>
      <c r="AI248" s="8">
        <f t="shared" si="149"/>
        <v>0</v>
      </c>
    </row>
    <row r="249" spans="2:35" ht="12.75" customHeight="1" x14ac:dyDescent="0.25">
      <c r="B249" s="64" t="s">
        <v>472</v>
      </c>
      <c r="C249" s="64" t="s">
        <v>473</v>
      </c>
      <c r="D249" s="67" t="s">
        <v>459</v>
      </c>
      <c r="E249" s="51">
        <f t="shared" si="139"/>
        <v>0</v>
      </c>
      <c r="F249" s="10">
        <f t="shared" si="140"/>
        <v>56178.270000000004</v>
      </c>
      <c r="G249" s="10">
        <f t="shared" si="148"/>
        <v>56178.270000000004</v>
      </c>
      <c r="H249" s="10">
        <v>30560.32</v>
      </c>
      <c r="I249" s="10">
        <v>4781.03</v>
      </c>
      <c r="J249" s="10">
        <v>735.41</v>
      </c>
      <c r="K249" s="10">
        <v>4781.03</v>
      </c>
      <c r="L249" s="10">
        <v>282.85000000000002</v>
      </c>
      <c r="M249" s="10">
        <v>735.41</v>
      </c>
      <c r="N249" s="10">
        <f>1244.54+678.84+9600</f>
        <v>11523.380000000001</v>
      </c>
      <c r="O249" s="10">
        <f>678.84+2100</f>
        <v>2778.84</v>
      </c>
      <c r="P249" s="10">
        <v>0</v>
      </c>
      <c r="Q249" s="10">
        <v>0</v>
      </c>
      <c r="R249" s="10">
        <v>0</v>
      </c>
      <c r="S249" s="10">
        <v>0</v>
      </c>
      <c r="T249" s="7">
        <f t="shared" si="128"/>
        <v>56178.270000000004</v>
      </c>
      <c r="U249" s="8">
        <f t="shared" si="136"/>
        <v>0</v>
      </c>
      <c r="V249" s="8"/>
      <c r="Z249" s="10">
        <v>44753.39</v>
      </c>
      <c r="AA249" s="8">
        <f t="shared" si="97"/>
        <v>-11424.880000000005</v>
      </c>
      <c r="AI249" s="8">
        <f t="shared" si="149"/>
        <v>56178.270000000004</v>
      </c>
    </row>
    <row r="250" spans="2:35" ht="12.75" customHeight="1" x14ac:dyDescent="0.25">
      <c r="B250" s="67" t="s">
        <v>474</v>
      </c>
      <c r="C250" s="67" t="s">
        <v>475</v>
      </c>
      <c r="D250" s="67" t="s">
        <v>459</v>
      </c>
      <c r="E250" s="51">
        <f t="shared" si="139"/>
        <v>0</v>
      </c>
      <c r="F250" s="10">
        <f t="shared" si="140"/>
        <v>0</v>
      </c>
      <c r="G250" s="10">
        <f t="shared" si="148"/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7">
        <f t="shared" si="128"/>
        <v>0</v>
      </c>
      <c r="U250" s="8">
        <f t="shared" si="136"/>
        <v>0</v>
      </c>
      <c r="V250" s="8"/>
      <c r="Z250" s="10"/>
      <c r="AA250" s="8"/>
      <c r="AI250" s="8"/>
    </row>
    <row r="251" spans="2:35" ht="24" customHeight="1" x14ac:dyDescent="0.25">
      <c r="B251" s="62" t="s">
        <v>476</v>
      </c>
      <c r="C251" s="71" t="s">
        <v>477</v>
      </c>
      <c r="D251" s="71"/>
      <c r="E251" s="51">
        <f t="shared" ref="E251" si="150">SUM(H251:S251)-G251</f>
        <v>0</v>
      </c>
      <c r="F251" s="10"/>
      <c r="G251" s="63">
        <f t="shared" ref="G251:S251" si="151">SUM(G252:G266)</f>
        <v>30956.33</v>
      </c>
      <c r="H251" s="63">
        <f t="shared" si="151"/>
        <v>6349.14</v>
      </c>
      <c r="I251" s="63">
        <f t="shared" si="151"/>
        <v>2505.75</v>
      </c>
      <c r="J251" s="63">
        <f t="shared" si="151"/>
        <v>3809.5</v>
      </c>
      <c r="K251" s="63">
        <f t="shared" si="151"/>
        <v>2393.4</v>
      </c>
      <c r="L251" s="63">
        <f t="shared" si="151"/>
        <v>2769.6800000000003</v>
      </c>
      <c r="M251" s="63">
        <f t="shared" si="151"/>
        <v>2092.46</v>
      </c>
      <c r="N251" s="63">
        <f t="shared" si="151"/>
        <v>2060.34</v>
      </c>
      <c r="O251" s="63">
        <f t="shared" si="151"/>
        <v>4847.62</v>
      </c>
      <c r="P251" s="63">
        <f t="shared" si="151"/>
        <v>2641.25</v>
      </c>
      <c r="Q251" s="63">
        <f t="shared" si="151"/>
        <v>541.37</v>
      </c>
      <c r="R251" s="63">
        <f t="shared" si="151"/>
        <v>472.90999999999997</v>
      </c>
      <c r="S251" s="63">
        <f t="shared" si="151"/>
        <v>472.90999999999997</v>
      </c>
      <c r="T251" s="7">
        <f t="shared" si="128"/>
        <v>30956.329999999998</v>
      </c>
      <c r="U251" s="8">
        <f t="shared" si="136"/>
        <v>0</v>
      </c>
      <c r="V251" s="8"/>
      <c r="Z251" s="63"/>
      <c r="AA251" s="8"/>
      <c r="AI251" s="8"/>
    </row>
    <row r="252" spans="2:35" ht="9.75" customHeight="1" x14ac:dyDescent="0.25">
      <c r="B252" s="64" t="s">
        <v>478</v>
      </c>
      <c r="C252" s="64" t="s">
        <v>479</v>
      </c>
      <c r="D252" s="64" t="s">
        <v>480</v>
      </c>
      <c r="E252" s="51">
        <f t="shared" ref="E252:E266" si="152">+F252-G252</f>
        <v>0</v>
      </c>
      <c r="F252" s="10">
        <f t="shared" si="140"/>
        <v>6944.75</v>
      </c>
      <c r="G252" s="10">
        <f t="shared" ref="G252:G266" si="153">SUM(H252:S252)</f>
        <v>6944.75</v>
      </c>
      <c r="H252" s="10">
        <v>1015.25</v>
      </c>
      <c r="I252" s="10">
        <v>294.16000000000003</v>
      </c>
      <c r="J252" s="10">
        <v>327.9</v>
      </c>
      <c r="K252" s="10">
        <v>262.48</v>
      </c>
      <c r="L252" s="10">
        <v>328.1</v>
      </c>
      <c r="M252" s="10">
        <v>196.24</v>
      </c>
      <c r="N252" s="10">
        <v>524.99</v>
      </c>
      <c r="O252" s="10">
        <v>3806.72</v>
      </c>
      <c r="P252" s="10">
        <v>188.91</v>
      </c>
      <c r="Q252" s="10">
        <v>0</v>
      </c>
      <c r="R252" s="10">
        <v>0</v>
      </c>
      <c r="S252" s="10">
        <v>0</v>
      </c>
      <c r="T252" s="7">
        <f t="shared" si="128"/>
        <v>6944.75</v>
      </c>
      <c r="U252" s="8">
        <f t="shared" si="136"/>
        <v>0</v>
      </c>
      <c r="V252" s="8"/>
      <c r="Z252" s="10"/>
      <c r="AA252" s="8"/>
      <c r="AI252" s="8">
        <f t="shared" ref="AI252:AI263" si="154">+G252</f>
        <v>6944.75</v>
      </c>
    </row>
    <row r="253" spans="2:35" ht="11.25" customHeight="1" x14ac:dyDescent="0.25">
      <c r="B253" s="64" t="s">
        <v>481</v>
      </c>
      <c r="C253" s="64" t="s">
        <v>482</v>
      </c>
      <c r="D253" s="64" t="s">
        <v>480</v>
      </c>
      <c r="E253" s="51">
        <f t="shared" si="152"/>
        <v>0</v>
      </c>
      <c r="F253" s="10">
        <f t="shared" si="140"/>
        <v>225.91</v>
      </c>
      <c r="G253" s="10">
        <f t="shared" si="153"/>
        <v>225.91</v>
      </c>
      <c r="H253" s="10">
        <v>63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/>
      <c r="O253" s="10">
        <v>162.91</v>
      </c>
      <c r="P253" s="10">
        <v>0</v>
      </c>
      <c r="Q253" s="10">
        <v>0</v>
      </c>
      <c r="R253" s="10">
        <v>0</v>
      </c>
      <c r="S253" s="10">
        <v>0</v>
      </c>
      <c r="T253" s="7">
        <f t="shared" si="128"/>
        <v>225.91</v>
      </c>
      <c r="U253" s="8">
        <f t="shared" si="136"/>
        <v>0</v>
      </c>
      <c r="V253" s="8"/>
      <c r="Z253" s="10"/>
      <c r="AA253" s="8"/>
      <c r="AI253" s="8">
        <f t="shared" si="154"/>
        <v>225.91</v>
      </c>
    </row>
    <row r="254" spans="2:35" ht="11.25" customHeight="1" x14ac:dyDescent="0.25">
      <c r="B254" s="64" t="s">
        <v>483</v>
      </c>
      <c r="C254" s="64" t="s">
        <v>484</v>
      </c>
      <c r="D254" s="64" t="s">
        <v>480</v>
      </c>
      <c r="E254" s="51">
        <f t="shared" si="152"/>
        <v>0</v>
      </c>
      <c r="F254" s="10">
        <f t="shared" si="140"/>
        <v>0</v>
      </c>
      <c r="G254" s="10">
        <f t="shared" si="153"/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0"/>
      <c r="O254" s="10"/>
      <c r="P254" s="10"/>
      <c r="Q254" s="10">
        <v>0</v>
      </c>
      <c r="R254" s="10">
        <v>0</v>
      </c>
      <c r="S254" s="10">
        <v>0</v>
      </c>
      <c r="T254" s="7">
        <f t="shared" si="128"/>
        <v>0</v>
      </c>
      <c r="U254" s="8">
        <f t="shared" si="136"/>
        <v>0</v>
      </c>
      <c r="V254" s="8"/>
      <c r="Z254" s="10"/>
      <c r="AA254" s="8"/>
      <c r="AI254" s="8"/>
    </row>
    <row r="255" spans="2:35" ht="11.25" customHeight="1" x14ac:dyDescent="0.25">
      <c r="B255" s="64" t="s">
        <v>485</v>
      </c>
      <c r="C255" s="64" t="s">
        <v>486</v>
      </c>
      <c r="D255" s="64" t="s">
        <v>30</v>
      </c>
      <c r="E255" s="51">
        <f t="shared" si="152"/>
        <v>0</v>
      </c>
      <c r="F255" s="10">
        <f t="shared" si="140"/>
        <v>0</v>
      </c>
      <c r="G255" s="10">
        <f t="shared" si="153"/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0"/>
      <c r="O255" s="10"/>
      <c r="P255" s="10"/>
      <c r="Q255" s="10">
        <v>0</v>
      </c>
      <c r="R255" s="10">
        <v>0</v>
      </c>
      <c r="S255" s="10">
        <v>0</v>
      </c>
      <c r="T255" s="7">
        <f t="shared" si="128"/>
        <v>0</v>
      </c>
      <c r="U255" s="8">
        <f t="shared" si="136"/>
        <v>0</v>
      </c>
      <c r="V255" s="8"/>
      <c r="Z255" s="10">
        <v>975.24</v>
      </c>
      <c r="AA255" s="8">
        <f t="shared" si="97"/>
        <v>975.24</v>
      </c>
      <c r="AI255" s="8">
        <f t="shared" si="154"/>
        <v>0</v>
      </c>
    </row>
    <row r="256" spans="2:35" ht="11.25" customHeight="1" x14ac:dyDescent="0.25">
      <c r="B256" s="64" t="s">
        <v>487</v>
      </c>
      <c r="C256" s="64" t="s">
        <v>488</v>
      </c>
      <c r="D256" s="64" t="s">
        <v>480</v>
      </c>
      <c r="E256" s="51">
        <f>+F256-G256</f>
        <v>0</v>
      </c>
      <c r="F256" s="10">
        <f t="shared" si="140"/>
        <v>0</v>
      </c>
      <c r="G256" s="10">
        <f t="shared" si="153"/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  <c r="M256" s="10">
        <v>0</v>
      </c>
      <c r="N256" s="10"/>
      <c r="O256" s="10"/>
      <c r="P256" s="10">
        <v>0</v>
      </c>
      <c r="Q256" s="10">
        <v>0</v>
      </c>
      <c r="R256" s="10">
        <v>0</v>
      </c>
      <c r="S256" s="10">
        <v>0</v>
      </c>
      <c r="T256" s="7">
        <f t="shared" si="128"/>
        <v>0</v>
      </c>
      <c r="U256" s="8">
        <f t="shared" si="136"/>
        <v>0</v>
      </c>
      <c r="V256" s="8"/>
      <c r="Z256" s="10"/>
      <c r="AA256" s="8"/>
      <c r="AI256" s="8">
        <f t="shared" si="154"/>
        <v>0</v>
      </c>
    </row>
    <row r="257" spans="2:35" ht="9.75" customHeight="1" x14ac:dyDescent="0.25">
      <c r="B257" s="64" t="s">
        <v>489</v>
      </c>
      <c r="C257" s="64" t="s">
        <v>490</v>
      </c>
      <c r="D257" s="64" t="s">
        <v>480</v>
      </c>
      <c r="E257" s="51">
        <f t="shared" si="152"/>
        <v>0</v>
      </c>
      <c r="F257" s="10">
        <f t="shared" si="140"/>
        <v>0</v>
      </c>
      <c r="G257" s="10">
        <f t="shared" si="153"/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  <c r="M257" s="10">
        <v>0</v>
      </c>
      <c r="N257" s="10"/>
      <c r="O257" s="10"/>
      <c r="P257" s="10">
        <v>0</v>
      </c>
      <c r="Q257" s="10">
        <v>0</v>
      </c>
      <c r="R257" s="10">
        <v>0</v>
      </c>
      <c r="S257" s="10">
        <v>0</v>
      </c>
      <c r="T257" s="7">
        <f t="shared" si="128"/>
        <v>0</v>
      </c>
      <c r="U257" s="8">
        <f t="shared" si="136"/>
        <v>0</v>
      </c>
      <c r="V257" s="8"/>
      <c r="Z257" s="10"/>
      <c r="AA257" s="8"/>
      <c r="AI257" s="8"/>
    </row>
    <row r="258" spans="2:35" ht="9.75" customHeight="1" x14ac:dyDescent="0.25">
      <c r="B258" s="64" t="s">
        <v>491</v>
      </c>
      <c r="C258" s="64" t="s">
        <v>492</v>
      </c>
      <c r="D258" s="64" t="s">
        <v>480</v>
      </c>
      <c r="E258" s="51">
        <f t="shared" si="152"/>
        <v>0</v>
      </c>
      <c r="F258" s="10">
        <f t="shared" si="140"/>
        <v>3769.0600000000004</v>
      </c>
      <c r="G258" s="10">
        <f t="shared" si="153"/>
        <v>3769.0600000000004</v>
      </c>
      <c r="H258" s="10">
        <v>1884.22</v>
      </c>
      <c r="I258" s="10">
        <v>325.83</v>
      </c>
      <c r="J258" s="10">
        <v>217.61</v>
      </c>
      <c r="K258" s="10">
        <v>283.97000000000003</v>
      </c>
      <c r="L258" s="10">
        <v>435.83</v>
      </c>
      <c r="M258" s="10">
        <v>110</v>
      </c>
      <c r="N258" s="10">
        <v>108.61</v>
      </c>
      <c r="O258" s="10"/>
      <c r="P258" s="10">
        <v>104.22</v>
      </c>
      <c r="Q258" s="10">
        <v>99.59</v>
      </c>
      <c r="R258" s="10">
        <v>99.59</v>
      </c>
      <c r="S258" s="10">
        <v>99.59</v>
      </c>
      <c r="T258" s="7">
        <f t="shared" si="128"/>
        <v>3769.0600000000004</v>
      </c>
      <c r="U258" s="8">
        <f t="shared" si="136"/>
        <v>0</v>
      </c>
      <c r="V258" s="8"/>
      <c r="Z258" s="10"/>
      <c r="AA258" s="8"/>
      <c r="AI258" s="8">
        <f t="shared" si="154"/>
        <v>3769.0600000000004</v>
      </c>
    </row>
    <row r="259" spans="2:35" ht="9.75" customHeight="1" x14ac:dyDescent="0.25">
      <c r="B259" s="64" t="s">
        <v>493</v>
      </c>
      <c r="C259" s="64" t="s">
        <v>494</v>
      </c>
      <c r="D259" s="64" t="s">
        <v>480</v>
      </c>
      <c r="E259" s="51">
        <f t="shared" si="152"/>
        <v>0</v>
      </c>
      <c r="F259" s="10">
        <f t="shared" si="140"/>
        <v>13854.369999999999</v>
      </c>
      <c r="G259" s="10">
        <f t="shared" si="153"/>
        <v>13854.369999999999</v>
      </c>
      <c r="H259" s="10">
        <v>1057.53</v>
      </c>
      <c r="I259" s="10">
        <v>1409.76</v>
      </c>
      <c r="J259" s="10">
        <v>2524.25</v>
      </c>
      <c r="K259" s="10">
        <v>768.25</v>
      </c>
      <c r="L259" s="10">
        <v>1865.75</v>
      </c>
      <c r="M259" s="10">
        <v>1646.22</v>
      </c>
      <c r="N259" s="10">
        <v>1316.99</v>
      </c>
      <c r="O259" s="10">
        <v>658.49</v>
      </c>
      <c r="P259" s="10">
        <v>1487.17</v>
      </c>
      <c r="Q259" s="10">
        <v>373.32</v>
      </c>
      <c r="R259" s="10">
        <v>373.32</v>
      </c>
      <c r="S259" s="10">
        <v>373.32</v>
      </c>
      <c r="T259" s="7">
        <f t="shared" si="128"/>
        <v>13854.369999999999</v>
      </c>
      <c r="U259" s="8">
        <f t="shared" si="136"/>
        <v>0</v>
      </c>
      <c r="V259" s="8"/>
      <c r="Z259" s="10"/>
      <c r="AA259" s="8"/>
      <c r="AI259" s="8">
        <f t="shared" si="154"/>
        <v>13854.369999999999</v>
      </c>
    </row>
    <row r="260" spans="2:35" ht="19.8" x14ac:dyDescent="0.25">
      <c r="B260" s="64" t="s">
        <v>495</v>
      </c>
      <c r="C260" s="73" t="s">
        <v>496</v>
      </c>
      <c r="D260" s="64" t="s">
        <v>480</v>
      </c>
      <c r="E260" s="51">
        <f t="shared" si="152"/>
        <v>0</v>
      </c>
      <c r="F260" s="10">
        <f t="shared" si="140"/>
        <v>3346.39</v>
      </c>
      <c r="G260" s="10">
        <f t="shared" si="153"/>
        <v>3346.39</v>
      </c>
      <c r="H260" s="10">
        <v>1156</v>
      </c>
      <c r="I260" s="10">
        <v>476</v>
      </c>
      <c r="J260" s="10">
        <v>630</v>
      </c>
      <c r="K260" s="10">
        <v>420</v>
      </c>
      <c r="L260" s="10">
        <v>140</v>
      </c>
      <c r="M260" s="10">
        <v>140</v>
      </c>
      <c r="N260" s="10"/>
      <c r="O260" s="10"/>
      <c r="P260" s="10">
        <v>315.93</v>
      </c>
      <c r="Q260" s="10">
        <v>68.459999999999994</v>
      </c>
      <c r="R260" s="10">
        <v>0</v>
      </c>
      <c r="S260" s="10">
        <v>0</v>
      </c>
      <c r="T260" s="7">
        <f t="shared" si="128"/>
        <v>3346.39</v>
      </c>
      <c r="U260" s="8">
        <f t="shared" si="136"/>
        <v>0</v>
      </c>
      <c r="V260" s="8"/>
      <c r="Z260" s="10"/>
      <c r="AA260" s="8"/>
      <c r="AI260" s="8">
        <f t="shared" si="154"/>
        <v>3346.39</v>
      </c>
    </row>
    <row r="261" spans="2:35" ht="12" customHeight="1" x14ac:dyDescent="0.25">
      <c r="B261" s="64" t="s">
        <v>497</v>
      </c>
      <c r="C261" s="64" t="s">
        <v>498</v>
      </c>
      <c r="D261" s="64" t="s">
        <v>480</v>
      </c>
      <c r="E261" s="51">
        <f t="shared" si="152"/>
        <v>0</v>
      </c>
      <c r="F261" s="10">
        <f t="shared" si="140"/>
        <v>0</v>
      </c>
      <c r="G261" s="10">
        <f t="shared" si="153"/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/>
      <c r="O261" s="10"/>
      <c r="P261" s="10"/>
      <c r="Q261" s="10">
        <v>0</v>
      </c>
      <c r="R261" s="10">
        <v>0</v>
      </c>
      <c r="S261" s="10">
        <v>0</v>
      </c>
      <c r="T261" s="7">
        <f t="shared" si="128"/>
        <v>0</v>
      </c>
      <c r="U261" s="8">
        <f t="shared" si="136"/>
        <v>0</v>
      </c>
      <c r="V261" s="8"/>
      <c r="Z261" s="10">
        <v>169.95</v>
      </c>
      <c r="AA261" s="8">
        <f t="shared" si="97"/>
        <v>169.95</v>
      </c>
      <c r="AI261" s="8">
        <f t="shared" si="154"/>
        <v>0</v>
      </c>
    </row>
    <row r="262" spans="2:35" ht="9.75" customHeight="1" x14ac:dyDescent="0.25">
      <c r="B262" s="64" t="s">
        <v>499</v>
      </c>
      <c r="C262" s="64" t="s">
        <v>500</v>
      </c>
      <c r="D262" s="64" t="s">
        <v>480</v>
      </c>
      <c r="E262" s="51">
        <f t="shared" si="152"/>
        <v>0</v>
      </c>
      <c r="F262" s="10">
        <f t="shared" si="140"/>
        <v>545.02</v>
      </c>
      <c r="G262" s="10">
        <f t="shared" si="153"/>
        <v>545.02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  <c r="M262" s="10">
        <v>0</v>
      </c>
      <c r="N262" s="10"/>
      <c r="O262" s="10"/>
      <c r="P262" s="10">
        <v>545.02</v>
      </c>
      <c r="Q262" s="10">
        <v>0</v>
      </c>
      <c r="R262" s="10">
        <v>0</v>
      </c>
      <c r="S262" s="10">
        <v>0</v>
      </c>
      <c r="T262" s="7">
        <f t="shared" si="128"/>
        <v>545.02</v>
      </c>
      <c r="U262" s="8">
        <f t="shared" si="136"/>
        <v>0</v>
      </c>
      <c r="V262" s="8"/>
      <c r="Z262" s="10"/>
      <c r="AA262" s="8"/>
      <c r="AI262" s="8"/>
    </row>
    <row r="263" spans="2:35" ht="19.8" x14ac:dyDescent="0.25">
      <c r="B263" s="64" t="s">
        <v>501</v>
      </c>
      <c r="C263" s="73" t="s">
        <v>502</v>
      </c>
      <c r="D263" s="64" t="s">
        <v>480</v>
      </c>
      <c r="E263" s="51">
        <f t="shared" si="152"/>
        <v>0</v>
      </c>
      <c r="F263" s="10">
        <f t="shared" si="140"/>
        <v>2270.83</v>
      </c>
      <c r="G263" s="10">
        <f t="shared" si="153"/>
        <v>2270.83</v>
      </c>
      <c r="H263" s="10">
        <v>1173.1400000000001</v>
      </c>
      <c r="I263" s="10">
        <v>0</v>
      </c>
      <c r="J263" s="10">
        <v>109.74</v>
      </c>
      <c r="K263" s="10">
        <v>658.7</v>
      </c>
      <c r="L263" s="10">
        <v>0</v>
      </c>
      <c r="M263" s="10">
        <v>0</v>
      </c>
      <c r="N263" s="10">
        <v>109.75</v>
      </c>
      <c r="O263" s="10">
        <v>219.5</v>
      </c>
      <c r="P263" s="10">
        <v>0</v>
      </c>
      <c r="Q263" s="10">
        <v>0</v>
      </c>
      <c r="R263" s="10">
        <v>0</v>
      </c>
      <c r="S263" s="10">
        <v>0</v>
      </c>
      <c r="T263" s="7">
        <f t="shared" si="128"/>
        <v>2270.83</v>
      </c>
      <c r="U263" s="8">
        <f t="shared" si="136"/>
        <v>0</v>
      </c>
      <c r="V263" s="8"/>
      <c r="Z263" s="10"/>
      <c r="AA263" s="8"/>
      <c r="AI263" s="8">
        <f t="shared" si="154"/>
        <v>2270.83</v>
      </c>
    </row>
    <row r="264" spans="2:35" ht="15.75" customHeight="1" x14ac:dyDescent="0.25">
      <c r="B264" s="67" t="s">
        <v>503</v>
      </c>
      <c r="C264" s="73" t="s">
        <v>504</v>
      </c>
      <c r="D264" s="73" t="s">
        <v>505</v>
      </c>
      <c r="E264" s="51">
        <f t="shared" si="152"/>
        <v>0</v>
      </c>
      <c r="F264" s="10">
        <f t="shared" si="140"/>
        <v>0</v>
      </c>
      <c r="G264" s="10">
        <f t="shared" si="153"/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  <c r="T264" s="7">
        <f t="shared" si="128"/>
        <v>0</v>
      </c>
      <c r="U264" s="8">
        <f t="shared" si="136"/>
        <v>0</v>
      </c>
      <c r="V264" s="8"/>
      <c r="Z264" s="10"/>
      <c r="AA264" s="8"/>
      <c r="AI264" s="8"/>
    </row>
    <row r="265" spans="2:35" ht="17.25" customHeight="1" x14ac:dyDescent="0.25">
      <c r="B265" s="67" t="s">
        <v>506</v>
      </c>
      <c r="C265" s="73" t="s">
        <v>507</v>
      </c>
      <c r="D265" s="73" t="s">
        <v>505</v>
      </c>
      <c r="E265" s="51">
        <f t="shared" si="152"/>
        <v>0</v>
      </c>
      <c r="F265" s="10">
        <f t="shared" si="140"/>
        <v>0</v>
      </c>
      <c r="G265" s="10">
        <f t="shared" si="153"/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  <c r="T265" s="7">
        <f t="shared" si="128"/>
        <v>0</v>
      </c>
      <c r="U265" s="8">
        <f t="shared" si="136"/>
        <v>0</v>
      </c>
      <c r="V265" s="8"/>
      <c r="Z265" s="10"/>
      <c r="AA265" s="8"/>
      <c r="AI265" s="8"/>
    </row>
    <row r="266" spans="2:35" ht="9.75" customHeight="1" x14ac:dyDescent="0.25">
      <c r="B266" s="67" t="s">
        <v>508</v>
      </c>
      <c r="C266" s="67" t="s">
        <v>509</v>
      </c>
      <c r="D266" s="73" t="s">
        <v>30</v>
      </c>
      <c r="E266" s="51">
        <f t="shared" si="152"/>
        <v>0</v>
      </c>
      <c r="F266" s="10">
        <f t="shared" si="140"/>
        <v>0</v>
      </c>
      <c r="G266" s="10">
        <f t="shared" si="153"/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/>
      <c r="O266" s="10"/>
      <c r="P266" s="10">
        <v>0</v>
      </c>
      <c r="Q266" s="10">
        <v>0</v>
      </c>
      <c r="R266" s="10">
        <v>0</v>
      </c>
      <c r="S266" s="10">
        <v>0</v>
      </c>
      <c r="T266" s="7">
        <f t="shared" si="128"/>
        <v>0</v>
      </c>
      <c r="U266" s="8">
        <f t="shared" si="136"/>
        <v>0</v>
      </c>
      <c r="V266" s="8"/>
      <c r="Z266" s="10"/>
      <c r="AA266" s="8"/>
      <c r="AI266" s="8"/>
    </row>
    <row r="267" spans="2:35" ht="17.25" customHeight="1" x14ac:dyDescent="0.25">
      <c r="B267" s="62" t="s">
        <v>510</v>
      </c>
      <c r="C267" s="71" t="s">
        <v>511</v>
      </c>
      <c r="D267" s="71"/>
      <c r="E267" s="51">
        <f t="shared" ref="E267" si="155">SUM(H267:S267)-G267</f>
        <v>0</v>
      </c>
      <c r="F267" s="10"/>
      <c r="G267" s="63">
        <f t="shared" ref="G267:S267" si="156">SUM(G268:G295)+G296</f>
        <v>415027.87999999995</v>
      </c>
      <c r="H267" s="63">
        <f t="shared" si="156"/>
        <v>38024.54</v>
      </c>
      <c r="I267" s="63">
        <f t="shared" si="156"/>
        <v>50040.890000000007</v>
      </c>
      <c r="J267" s="63">
        <f t="shared" si="156"/>
        <v>70884.770000000019</v>
      </c>
      <c r="K267" s="63">
        <f t="shared" si="156"/>
        <v>54329.22</v>
      </c>
      <c r="L267" s="63">
        <f t="shared" si="156"/>
        <v>57856.249999999993</v>
      </c>
      <c r="M267" s="63">
        <f t="shared" si="156"/>
        <v>39819.840000000011</v>
      </c>
      <c r="N267" s="63">
        <f t="shared" si="156"/>
        <v>52588.67</v>
      </c>
      <c r="O267" s="63">
        <f t="shared" si="156"/>
        <v>34249.4</v>
      </c>
      <c r="P267" s="63">
        <f t="shared" si="156"/>
        <v>11809.95</v>
      </c>
      <c r="Q267" s="63">
        <f t="shared" si="156"/>
        <v>0</v>
      </c>
      <c r="R267" s="63">
        <f t="shared" si="156"/>
        <v>5424.35</v>
      </c>
      <c r="S267" s="63">
        <f t="shared" si="156"/>
        <v>0</v>
      </c>
      <c r="T267" s="7">
        <f t="shared" si="128"/>
        <v>415027.88</v>
      </c>
      <c r="U267" s="8">
        <f t="shared" si="136"/>
        <v>0</v>
      </c>
      <c r="V267" s="8"/>
      <c r="Z267" s="63"/>
      <c r="AA267" s="8"/>
      <c r="AI267" s="8"/>
    </row>
    <row r="268" spans="2:35" ht="9.75" customHeight="1" x14ac:dyDescent="0.25">
      <c r="B268" s="67" t="s">
        <v>512</v>
      </c>
      <c r="C268" s="67" t="s">
        <v>513</v>
      </c>
      <c r="D268" s="64" t="s">
        <v>58</v>
      </c>
      <c r="E268" s="51">
        <f t="shared" ref="E268:E331" si="157">+F268-G268</f>
        <v>0</v>
      </c>
      <c r="F268" s="10">
        <f t="shared" si="140"/>
        <v>12938.559999999998</v>
      </c>
      <c r="G268" s="10">
        <f t="shared" ref="G268:G295" si="158">SUM(H268:S268)</f>
        <v>12938.559999999998</v>
      </c>
      <c r="H268" s="10">
        <v>1224.72</v>
      </c>
      <c r="I268" s="10">
        <v>1695.29</v>
      </c>
      <c r="J268" s="10">
        <v>2339.91</v>
      </c>
      <c r="K268" s="10">
        <v>1648.58</v>
      </c>
      <c r="L268" s="10">
        <v>1701.74</v>
      </c>
      <c r="M268" s="10">
        <v>1329.48</v>
      </c>
      <c r="N268" s="10">
        <v>1329.5</v>
      </c>
      <c r="O268" s="10">
        <v>904.04</v>
      </c>
      <c r="P268" s="10">
        <v>765.3</v>
      </c>
      <c r="Q268" s="10">
        <v>0</v>
      </c>
      <c r="R268" s="10">
        <v>0</v>
      </c>
      <c r="S268" s="10">
        <v>0</v>
      </c>
      <c r="T268" s="7">
        <f t="shared" si="128"/>
        <v>12938.559999999998</v>
      </c>
      <c r="U268" s="8">
        <f t="shared" si="136"/>
        <v>0</v>
      </c>
      <c r="V268" s="8"/>
      <c r="Z268" s="10"/>
      <c r="AA268" s="8"/>
      <c r="AI268" s="8">
        <f t="shared" ref="AI268:AI284" si="159">+G268</f>
        <v>12938.559999999998</v>
      </c>
    </row>
    <row r="269" spans="2:35" ht="9.75" customHeight="1" x14ac:dyDescent="0.25">
      <c r="B269" s="67" t="s">
        <v>514</v>
      </c>
      <c r="C269" s="67" t="s">
        <v>515</v>
      </c>
      <c r="D269" s="64" t="s">
        <v>58</v>
      </c>
      <c r="E269" s="51">
        <f t="shared" si="157"/>
        <v>0</v>
      </c>
      <c r="F269" s="10">
        <f t="shared" si="140"/>
        <v>0</v>
      </c>
      <c r="G269" s="10">
        <f t="shared" si="158"/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0"/>
      <c r="O269" s="10"/>
      <c r="P269" s="10"/>
      <c r="Q269" s="10">
        <v>0</v>
      </c>
      <c r="R269" s="10">
        <v>0</v>
      </c>
      <c r="S269" s="10">
        <v>0</v>
      </c>
      <c r="T269" s="7">
        <f t="shared" si="128"/>
        <v>0</v>
      </c>
      <c r="U269" s="8">
        <f t="shared" si="136"/>
        <v>0</v>
      </c>
      <c r="V269" s="8"/>
      <c r="Z269" s="10"/>
      <c r="AA269" s="8"/>
      <c r="AI269" s="8"/>
    </row>
    <row r="270" spans="2:35" ht="9.75" customHeight="1" x14ac:dyDescent="0.25">
      <c r="B270" s="67" t="s">
        <v>516</v>
      </c>
      <c r="C270" s="67" t="s">
        <v>517</v>
      </c>
      <c r="D270" s="64" t="s">
        <v>58</v>
      </c>
      <c r="E270" s="51">
        <f t="shared" si="157"/>
        <v>0</v>
      </c>
      <c r="F270" s="10">
        <f t="shared" si="140"/>
        <v>5000.03</v>
      </c>
      <c r="G270" s="10">
        <f t="shared" si="158"/>
        <v>5000.03</v>
      </c>
      <c r="H270" s="10">
        <v>0</v>
      </c>
      <c r="I270" s="10">
        <v>158</v>
      </c>
      <c r="J270" s="10">
        <v>0</v>
      </c>
      <c r="K270" s="10">
        <v>0</v>
      </c>
      <c r="L270" s="10">
        <v>4525.63</v>
      </c>
      <c r="M270" s="10">
        <v>0</v>
      </c>
      <c r="N270" s="10"/>
      <c r="O270" s="10">
        <v>316.39999999999998</v>
      </c>
      <c r="P270" s="10"/>
      <c r="Q270" s="10">
        <v>0</v>
      </c>
      <c r="R270" s="10">
        <v>0</v>
      </c>
      <c r="S270" s="10">
        <v>0</v>
      </c>
      <c r="T270" s="7">
        <f t="shared" si="128"/>
        <v>5000.03</v>
      </c>
      <c r="U270" s="8">
        <f t="shared" si="136"/>
        <v>0</v>
      </c>
      <c r="V270" s="8"/>
      <c r="Z270" s="10">
        <v>10880.38</v>
      </c>
      <c r="AA270" s="8">
        <f t="shared" ref="AA270:AA370" si="160">+Z270-G270</f>
        <v>5880.3499999999995</v>
      </c>
      <c r="AI270" s="8">
        <f t="shared" si="159"/>
        <v>5000.03</v>
      </c>
    </row>
    <row r="271" spans="2:35" ht="9.75" customHeight="1" x14ac:dyDescent="0.25">
      <c r="B271" s="67" t="s">
        <v>518</v>
      </c>
      <c r="C271" s="67" t="s">
        <v>519</v>
      </c>
      <c r="D271" s="64" t="s">
        <v>58</v>
      </c>
      <c r="E271" s="51">
        <f t="shared" si="157"/>
        <v>0</v>
      </c>
      <c r="F271" s="10">
        <f t="shared" si="140"/>
        <v>586</v>
      </c>
      <c r="G271" s="10">
        <f t="shared" si="158"/>
        <v>586</v>
      </c>
      <c r="H271" s="10">
        <v>0</v>
      </c>
      <c r="I271" s="10">
        <v>0</v>
      </c>
      <c r="J271" s="10">
        <v>0</v>
      </c>
      <c r="K271" s="10">
        <v>198</v>
      </c>
      <c r="L271" s="10">
        <v>0</v>
      </c>
      <c r="M271" s="10">
        <v>198</v>
      </c>
      <c r="N271" s="10"/>
      <c r="O271" s="10"/>
      <c r="P271" s="10">
        <v>190</v>
      </c>
      <c r="Q271" s="10">
        <v>0</v>
      </c>
      <c r="R271" s="10">
        <v>0</v>
      </c>
      <c r="S271" s="10">
        <v>0</v>
      </c>
      <c r="T271" s="7">
        <f t="shared" si="128"/>
        <v>586</v>
      </c>
      <c r="U271" s="8">
        <f t="shared" si="136"/>
        <v>0</v>
      </c>
      <c r="V271" s="8"/>
      <c r="Z271" s="10"/>
      <c r="AA271" s="8"/>
      <c r="AI271" s="8">
        <f t="shared" si="159"/>
        <v>586</v>
      </c>
    </row>
    <row r="272" spans="2:35" ht="9.75" customHeight="1" x14ac:dyDescent="0.25">
      <c r="B272" s="67" t="s">
        <v>520</v>
      </c>
      <c r="C272" s="67" t="s">
        <v>521</v>
      </c>
      <c r="D272" s="64" t="s">
        <v>58</v>
      </c>
      <c r="E272" s="51">
        <f t="shared" si="157"/>
        <v>0</v>
      </c>
      <c r="F272" s="10">
        <f t="shared" si="140"/>
        <v>143.69</v>
      </c>
      <c r="G272" s="10">
        <f t="shared" si="158"/>
        <v>143.69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</v>
      </c>
      <c r="N272" s="10"/>
      <c r="O272" s="10">
        <v>143.69</v>
      </c>
      <c r="P272" s="10">
        <v>0</v>
      </c>
      <c r="Q272" s="10">
        <v>0</v>
      </c>
      <c r="R272" s="10">
        <v>0</v>
      </c>
      <c r="S272" s="10">
        <v>0</v>
      </c>
      <c r="T272" s="7">
        <f t="shared" si="128"/>
        <v>143.69</v>
      </c>
      <c r="U272" s="8">
        <f t="shared" si="136"/>
        <v>0</v>
      </c>
      <c r="V272" s="8"/>
      <c r="Z272" s="10">
        <v>229.9</v>
      </c>
      <c r="AA272" s="8">
        <f t="shared" si="160"/>
        <v>86.210000000000008</v>
      </c>
      <c r="AI272" s="8">
        <f t="shared" si="159"/>
        <v>143.69</v>
      </c>
    </row>
    <row r="273" spans="2:35" ht="10.199999999999999" x14ac:dyDescent="0.25">
      <c r="B273" s="64" t="s">
        <v>522</v>
      </c>
      <c r="C273" s="64" t="s">
        <v>523</v>
      </c>
      <c r="D273" s="64" t="s">
        <v>58</v>
      </c>
      <c r="E273" s="51">
        <f t="shared" si="157"/>
        <v>0</v>
      </c>
      <c r="F273" s="10">
        <f t="shared" si="140"/>
        <v>0</v>
      </c>
      <c r="G273" s="10">
        <f t="shared" si="158"/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/>
      <c r="O273" s="10"/>
      <c r="P273" s="10"/>
      <c r="Q273" s="10">
        <v>0</v>
      </c>
      <c r="R273" s="10">
        <v>0</v>
      </c>
      <c r="S273" s="10">
        <v>0</v>
      </c>
      <c r="T273" s="7">
        <f t="shared" si="128"/>
        <v>0</v>
      </c>
      <c r="U273" s="8">
        <f t="shared" si="136"/>
        <v>0</v>
      </c>
      <c r="V273" s="8"/>
      <c r="Z273" s="10">
        <v>91.67</v>
      </c>
      <c r="AA273" s="8">
        <f t="shared" si="160"/>
        <v>91.67</v>
      </c>
      <c r="AG273" s="10">
        <f>89*1.03</f>
        <v>91.67</v>
      </c>
      <c r="AH273" s="61">
        <f t="shared" ref="AH273:AH323" si="161">+AG273-G273</f>
        <v>91.67</v>
      </c>
      <c r="AI273" s="8">
        <f t="shared" si="159"/>
        <v>0</v>
      </c>
    </row>
    <row r="274" spans="2:35" ht="19.8" x14ac:dyDescent="0.25">
      <c r="B274" s="67" t="s">
        <v>524</v>
      </c>
      <c r="C274" s="81" t="s">
        <v>525</v>
      </c>
      <c r="D274" s="64" t="s">
        <v>58</v>
      </c>
      <c r="E274" s="51">
        <f t="shared" si="157"/>
        <v>0</v>
      </c>
      <c r="F274" s="10">
        <f t="shared" si="140"/>
        <v>3050</v>
      </c>
      <c r="G274" s="10">
        <f t="shared" si="158"/>
        <v>3050</v>
      </c>
      <c r="H274" s="10">
        <v>0</v>
      </c>
      <c r="I274" s="10">
        <v>854</v>
      </c>
      <c r="J274" s="10">
        <v>610</v>
      </c>
      <c r="K274" s="10">
        <v>366</v>
      </c>
      <c r="L274" s="10">
        <v>610</v>
      </c>
      <c r="M274" s="10">
        <v>610</v>
      </c>
      <c r="N274" s="10"/>
      <c r="O274" s="10"/>
      <c r="P274" s="10"/>
      <c r="Q274" s="10">
        <v>0</v>
      </c>
      <c r="R274" s="10">
        <v>0</v>
      </c>
      <c r="S274" s="10">
        <v>0</v>
      </c>
      <c r="T274" s="7">
        <f t="shared" si="128"/>
        <v>3050</v>
      </c>
      <c r="U274" s="8">
        <f t="shared" si="136"/>
        <v>0</v>
      </c>
      <c r="V274" s="8"/>
      <c r="Z274" s="10">
        <v>298.25</v>
      </c>
      <c r="AA274" s="8">
        <f t="shared" si="160"/>
        <v>-2751.75</v>
      </c>
      <c r="AG274" s="10">
        <f>289.56*1.03</f>
        <v>298.24680000000001</v>
      </c>
      <c r="AH274" s="61">
        <f t="shared" si="161"/>
        <v>-2751.7532000000001</v>
      </c>
      <c r="AI274" s="8">
        <f t="shared" si="159"/>
        <v>3050</v>
      </c>
    </row>
    <row r="275" spans="2:35" ht="10.199999999999999" x14ac:dyDescent="0.25">
      <c r="B275" s="64" t="s">
        <v>526</v>
      </c>
      <c r="C275" s="81" t="s">
        <v>527</v>
      </c>
      <c r="D275" s="64" t="s">
        <v>58</v>
      </c>
      <c r="E275" s="51">
        <f t="shared" si="157"/>
        <v>0</v>
      </c>
      <c r="F275" s="10">
        <f t="shared" si="140"/>
        <v>0</v>
      </c>
      <c r="G275" s="10">
        <f t="shared" si="158"/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  <c r="M275" s="10">
        <v>0</v>
      </c>
      <c r="N275" s="10"/>
      <c r="O275" s="10"/>
      <c r="P275" s="10"/>
      <c r="Q275" s="10">
        <v>0</v>
      </c>
      <c r="R275" s="10">
        <v>0</v>
      </c>
      <c r="S275" s="10">
        <v>0</v>
      </c>
      <c r="T275" s="7">
        <f t="shared" ref="T275:T343" si="162">SUM(H275:S275)</f>
        <v>0</v>
      </c>
      <c r="U275" s="8">
        <f t="shared" si="136"/>
        <v>0</v>
      </c>
      <c r="V275" s="8"/>
      <c r="Z275" s="10">
        <v>0</v>
      </c>
      <c r="AA275" s="8">
        <f t="shared" si="160"/>
        <v>0</v>
      </c>
      <c r="AH275" s="61">
        <f t="shared" si="161"/>
        <v>0</v>
      </c>
      <c r="AI275" s="8">
        <f t="shared" si="159"/>
        <v>0</v>
      </c>
    </row>
    <row r="276" spans="2:35" ht="13.2" x14ac:dyDescent="0.25">
      <c r="B276" s="64" t="s">
        <v>528</v>
      </c>
      <c r="C276" s="81" t="s">
        <v>529</v>
      </c>
      <c r="D276" s="64" t="s">
        <v>58</v>
      </c>
      <c r="E276" s="51">
        <f t="shared" si="157"/>
        <v>0</v>
      </c>
      <c r="F276" s="10">
        <f t="shared" si="140"/>
        <v>0</v>
      </c>
      <c r="G276" s="10">
        <f t="shared" si="158"/>
        <v>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0</v>
      </c>
      <c r="N276" s="10"/>
      <c r="O276" s="10"/>
      <c r="P276" s="10">
        <v>0</v>
      </c>
      <c r="Q276" s="10">
        <v>0</v>
      </c>
      <c r="R276" s="10">
        <v>0</v>
      </c>
      <c r="S276" s="10">
        <v>0</v>
      </c>
      <c r="T276" s="7">
        <f t="shared" si="162"/>
        <v>0</v>
      </c>
      <c r="U276" s="8">
        <f t="shared" si="136"/>
        <v>0</v>
      </c>
      <c r="V276" s="8"/>
      <c r="Z276" s="10">
        <v>140.11000000000001</v>
      </c>
      <c r="AA276" s="8">
        <f t="shared" si="160"/>
        <v>140.11000000000001</v>
      </c>
      <c r="AG276" s="10">
        <f>136.03*1.03</f>
        <v>140.11090000000002</v>
      </c>
      <c r="AH276" s="61">
        <f t="shared" si="161"/>
        <v>140.11090000000002</v>
      </c>
      <c r="AI276" s="8">
        <f t="shared" si="159"/>
        <v>0</v>
      </c>
    </row>
    <row r="277" spans="2:35" ht="19.8" x14ac:dyDescent="0.25">
      <c r="B277" s="67" t="s">
        <v>530</v>
      </c>
      <c r="C277" s="81" t="s">
        <v>531</v>
      </c>
      <c r="D277" s="64" t="s">
        <v>58</v>
      </c>
      <c r="E277" s="51">
        <f t="shared" si="157"/>
        <v>0</v>
      </c>
      <c r="F277" s="10">
        <f t="shared" si="140"/>
        <v>998.57</v>
      </c>
      <c r="G277" s="10">
        <f t="shared" si="158"/>
        <v>998.57</v>
      </c>
      <c r="H277" s="10">
        <v>998.57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/>
      <c r="O277" s="10"/>
      <c r="P277" s="10">
        <v>0</v>
      </c>
      <c r="Q277" s="10">
        <v>0</v>
      </c>
      <c r="R277" s="10">
        <v>0</v>
      </c>
      <c r="S277" s="10">
        <v>0</v>
      </c>
      <c r="T277" s="7">
        <f t="shared" si="162"/>
        <v>998.57</v>
      </c>
      <c r="U277" s="8">
        <f t="shared" si="136"/>
        <v>0</v>
      </c>
      <c r="V277" s="8"/>
      <c r="Z277" s="10"/>
      <c r="AA277" s="8"/>
      <c r="AG277" s="10">
        <f>18599.35*1.03</f>
        <v>19157.3305</v>
      </c>
      <c r="AH277" s="61">
        <f t="shared" si="161"/>
        <v>18158.7605</v>
      </c>
      <c r="AI277" s="8">
        <f t="shared" si="159"/>
        <v>998.57</v>
      </c>
    </row>
    <row r="278" spans="2:35" ht="19.8" x14ac:dyDescent="0.25">
      <c r="B278" s="67" t="s">
        <v>532</v>
      </c>
      <c r="C278" s="81" t="s">
        <v>533</v>
      </c>
      <c r="D278" s="64" t="s">
        <v>58</v>
      </c>
      <c r="E278" s="51">
        <f t="shared" si="157"/>
        <v>0</v>
      </c>
      <c r="F278" s="10">
        <f t="shared" si="140"/>
        <v>13280.020000000002</v>
      </c>
      <c r="G278" s="10">
        <f t="shared" si="158"/>
        <v>13280.020000000002</v>
      </c>
      <c r="H278" s="10">
        <v>1997.68</v>
      </c>
      <c r="I278" s="10">
        <v>1561.32</v>
      </c>
      <c r="J278" s="10">
        <v>2114.59</v>
      </c>
      <c r="K278" s="10">
        <v>520.44000000000005</v>
      </c>
      <c r="L278" s="10">
        <v>0</v>
      </c>
      <c r="M278" s="10">
        <v>520.44000000000005</v>
      </c>
      <c r="N278" s="10">
        <v>1040.8800000000001</v>
      </c>
      <c r="O278" s="10">
        <v>520.44000000000005</v>
      </c>
      <c r="P278" s="10">
        <v>4179.88</v>
      </c>
      <c r="Q278" s="10">
        <v>0</v>
      </c>
      <c r="R278" s="10">
        <v>824.35</v>
      </c>
      <c r="S278" s="10">
        <v>0</v>
      </c>
      <c r="T278" s="7">
        <f t="shared" si="162"/>
        <v>13280.020000000002</v>
      </c>
      <c r="U278" s="8">
        <f t="shared" si="136"/>
        <v>0</v>
      </c>
      <c r="V278" s="8"/>
      <c r="Z278" s="10"/>
      <c r="AA278" s="8"/>
      <c r="AG278" s="10">
        <f>54100.35*1.03</f>
        <v>55723.360500000003</v>
      </c>
      <c r="AH278" s="61">
        <f t="shared" si="161"/>
        <v>42443.340499999998</v>
      </c>
      <c r="AI278" s="8">
        <f t="shared" si="159"/>
        <v>13280.020000000002</v>
      </c>
    </row>
    <row r="279" spans="2:35" ht="19.8" x14ac:dyDescent="0.25">
      <c r="B279" s="67" t="s">
        <v>534</v>
      </c>
      <c r="C279" s="81" t="s">
        <v>535</v>
      </c>
      <c r="D279" s="64" t="s">
        <v>58</v>
      </c>
      <c r="E279" s="51">
        <f t="shared" si="157"/>
        <v>0</v>
      </c>
      <c r="F279" s="10">
        <f t="shared" si="140"/>
        <v>158603.89000000001</v>
      </c>
      <c r="G279" s="10">
        <f t="shared" si="158"/>
        <v>158603.89000000001</v>
      </c>
      <c r="H279" s="10">
        <v>13484.34</v>
      </c>
      <c r="I279" s="10">
        <v>22252.98</v>
      </c>
      <c r="J279" s="10">
        <v>34048.400000000001</v>
      </c>
      <c r="K279" s="10">
        <v>24689.45</v>
      </c>
      <c r="L279" s="10">
        <v>22899.58</v>
      </c>
      <c r="M279" s="10">
        <v>17695.13</v>
      </c>
      <c r="N279" s="10">
        <v>13531.57</v>
      </c>
      <c r="O279" s="10">
        <v>9888.4500000000007</v>
      </c>
      <c r="P279" s="10">
        <v>113.99</v>
      </c>
      <c r="Q279" s="10">
        <v>0</v>
      </c>
      <c r="R279" s="10">
        <v>0</v>
      </c>
      <c r="S279" s="10">
        <v>0</v>
      </c>
      <c r="T279" s="7">
        <f t="shared" si="162"/>
        <v>158603.89000000001</v>
      </c>
      <c r="U279" s="8">
        <f t="shared" si="136"/>
        <v>0</v>
      </c>
      <c r="V279" s="8"/>
      <c r="Z279" s="10"/>
      <c r="AA279" s="8"/>
      <c r="AG279" s="10">
        <f>4073.33*1.03</f>
        <v>4195.5299000000005</v>
      </c>
      <c r="AH279" s="61">
        <f t="shared" si="161"/>
        <v>-154408.36010000002</v>
      </c>
      <c r="AI279" s="8">
        <f t="shared" si="159"/>
        <v>158603.89000000001</v>
      </c>
    </row>
    <row r="280" spans="2:35" ht="19.8" x14ac:dyDescent="0.25">
      <c r="B280" s="64" t="s">
        <v>536</v>
      </c>
      <c r="C280" s="81" t="s">
        <v>537</v>
      </c>
      <c r="D280" s="64" t="s">
        <v>58</v>
      </c>
      <c r="E280" s="51">
        <f t="shared" si="157"/>
        <v>0</v>
      </c>
      <c r="F280" s="10">
        <f t="shared" si="140"/>
        <v>55570.21</v>
      </c>
      <c r="G280" s="10">
        <f t="shared" si="158"/>
        <v>55570.21</v>
      </c>
      <c r="H280" s="10">
        <v>5493.65</v>
      </c>
      <c r="I280" s="10">
        <v>9367.98</v>
      </c>
      <c r="J280" s="10">
        <v>11970.2</v>
      </c>
      <c r="K280" s="10">
        <v>7806.65</v>
      </c>
      <c r="L280" s="10">
        <v>7286.21</v>
      </c>
      <c r="M280" s="10">
        <v>6245.32</v>
      </c>
      <c r="N280" s="10">
        <v>5724.88</v>
      </c>
      <c r="O280" s="10">
        <v>1561.33</v>
      </c>
      <c r="P280" s="10">
        <v>113.99</v>
      </c>
      <c r="Q280" s="10">
        <v>0</v>
      </c>
      <c r="R280" s="10">
        <v>0</v>
      </c>
      <c r="S280" s="10">
        <v>0</v>
      </c>
      <c r="T280" s="7">
        <f t="shared" si="162"/>
        <v>55570.21</v>
      </c>
      <c r="U280" s="8">
        <f t="shared" si="136"/>
        <v>0</v>
      </c>
      <c r="V280" s="8"/>
      <c r="Z280" s="10"/>
      <c r="AA280" s="8"/>
      <c r="AI280" s="8"/>
    </row>
    <row r="281" spans="2:35" ht="27" customHeight="1" x14ac:dyDescent="0.25">
      <c r="B281" s="64" t="s">
        <v>538</v>
      </c>
      <c r="C281" s="81" t="s">
        <v>539</v>
      </c>
      <c r="D281" s="64" t="s">
        <v>58</v>
      </c>
      <c r="E281" s="51">
        <f t="shared" si="157"/>
        <v>0</v>
      </c>
      <c r="F281" s="10">
        <f t="shared" si="140"/>
        <v>23089.63</v>
      </c>
      <c r="G281" s="10">
        <f t="shared" si="158"/>
        <v>23089.63</v>
      </c>
      <c r="H281" s="10">
        <v>4058.34</v>
      </c>
      <c r="I281" s="10">
        <v>0</v>
      </c>
      <c r="J281" s="10">
        <v>0</v>
      </c>
      <c r="K281" s="10">
        <v>2114.59</v>
      </c>
      <c r="L281" s="10">
        <v>6343.77</v>
      </c>
      <c r="M281" s="10">
        <v>2114.59</v>
      </c>
      <c r="N281" s="10">
        <v>4229.16</v>
      </c>
      <c r="O281" s="10">
        <v>4229.18</v>
      </c>
      <c r="P281" s="10">
        <v>0</v>
      </c>
      <c r="Q281" s="10">
        <v>0</v>
      </c>
      <c r="R281" s="10">
        <v>0</v>
      </c>
      <c r="S281" s="10">
        <v>0</v>
      </c>
      <c r="T281" s="7">
        <f t="shared" si="162"/>
        <v>23089.63</v>
      </c>
      <c r="U281" s="8">
        <f t="shared" si="136"/>
        <v>0</v>
      </c>
      <c r="V281" s="8"/>
      <c r="Z281" s="10"/>
      <c r="AA281" s="8"/>
      <c r="AI281" s="8"/>
    </row>
    <row r="282" spans="2:35" ht="19.5" customHeight="1" x14ac:dyDescent="0.25">
      <c r="B282" s="67" t="s">
        <v>540</v>
      </c>
      <c r="C282" s="81" t="s">
        <v>541</v>
      </c>
      <c r="D282" s="64" t="s">
        <v>58</v>
      </c>
      <c r="E282" s="51">
        <f t="shared" si="157"/>
        <v>0</v>
      </c>
      <c r="F282" s="10">
        <f t="shared" si="140"/>
        <v>592.91</v>
      </c>
      <c r="G282" s="10">
        <f t="shared" si="158"/>
        <v>592.91</v>
      </c>
      <c r="H282" s="10">
        <v>104.21</v>
      </c>
      <c r="I282" s="10">
        <v>162.9</v>
      </c>
      <c r="J282" s="10">
        <v>54.3</v>
      </c>
      <c r="K282" s="10">
        <v>108.6</v>
      </c>
      <c r="L282" s="10">
        <v>0</v>
      </c>
      <c r="M282" s="10">
        <v>54.3</v>
      </c>
      <c r="N282" s="10">
        <v>108.6</v>
      </c>
      <c r="O282" s="10"/>
      <c r="P282" s="10"/>
      <c r="Q282" s="10">
        <v>0</v>
      </c>
      <c r="R282" s="10">
        <v>0</v>
      </c>
      <c r="S282" s="10">
        <v>0</v>
      </c>
      <c r="T282" s="7">
        <f t="shared" si="162"/>
        <v>592.91</v>
      </c>
      <c r="U282" s="8">
        <f t="shared" si="136"/>
        <v>0</v>
      </c>
      <c r="V282" s="8"/>
      <c r="Z282" s="10">
        <v>351.17</v>
      </c>
      <c r="AA282" s="8">
        <f t="shared" si="160"/>
        <v>-241.73999999999995</v>
      </c>
      <c r="AG282" s="10">
        <f>340.94*1.03</f>
        <v>351.16820000000001</v>
      </c>
      <c r="AH282" s="61">
        <f t="shared" si="161"/>
        <v>-241.74179999999996</v>
      </c>
      <c r="AI282" s="8">
        <f t="shared" si="159"/>
        <v>592.91</v>
      </c>
    </row>
    <row r="283" spans="2:35" ht="22.5" customHeight="1" x14ac:dyDescent="0.25">
      <c r="B283" s="64" t="s">
        <v>542</v>
      </c>
      <c r="C283" s="81" t="s">
        <v>543</v>
      </c>
      <c r="D283" s="64" t="s">
        <v>58</v>
      </c>
      <c r="E283" s="51">
        <f t="shared" si="157"/>
        <v>0</v>
      </c>
      <c r="F283" s="10">
        <f t="shared" si="140"/>
        <v>17000.14</v>
      </c>
      <c r="G283" s="10">
        <f t="shared" si="158"/>
        <v>17000.14</v>
      </c>
      <c r="H283" s="10">
        <v>1354.19</v>
      </c>
      <c r="I283" s="10">
        <v>1433.47</v>
      </c>
      <c r="J283" s="10">
        <v>1058.97</v>
      </c>
      <c r="K283" s="10">
        <v>1764.86</v>
      </c>
      <c r="L283" s="10">
        <v>1764.95</v>
      </c>
      <c r="M283" s="10">
        <v>1058.97</v>
      </c>
      <c r="N283" s="10">
        <v>1411.96</v>
      </c>
      <c r="O283" s="10">
        <v>705.98</v>
      </c>
      <c r="P283" s="10">
        <v>6446.79</v>
      </c>
      <c r="Q283" s="65">
        <v>0</v>
      </c>
      <c r="R283" s="65">
        <v>0</v>
      </c>
      <c r="S283" s="65">
        <v>0</v>
      </c>
      <c r="T283" s="7">
        <f t="shared" si="162"/>
        <v>17000.14</v>
      </c>
      <c r="U283" s="8">
        <f t="shared" si="136"/>
        <v>0</v>
      </c>
      <c r="V283" s="8"/>
      <c r="Z283" s="10"/>
      <c r="AA283" s="8"/>
      <c r="AG283" s="10">
        <f>5331.52*1.03</f>
        <v>5491.4656000000004</v>
      </c>
      <c r="AH283" s="61">
        <f t="shared" si="161"/>
        <v>-11508.6744</v>
      </c>
      <c r="AI283" s="8">
        <f t="shared" si="159"/>
        <v>17000.14</v>
      </c>
    </row>
    <row r="284" spans="2:35" ht="12" customHeight="1" x14ac:dyDescent="0.25">
      <c r="B284" s="67" t="s">
        <v>544</v>
      </c>
      <c r="C284" s="81" t="s">
        <v>545</v>
      </c>
      <c r="D284" s="64" t="s">
        <v>58</v>
      </c>
      <c r="E284" s="51">
        <f t="shared" si="157"/>
        <v>0</v>
      </c>
      <c r="F284" s="10">
        <f t="shared" si="140"/>
        <v>40515.279999999999</v>
      </c>
      <c r="G284" s="10">
        <f t="shared" si="158"/>
        <v>40515.279999999999</v>
      </c>
      <c r="H284" s="10">
        <v>6841.04</v>
      </c>
      <c r="I284" s="10">
        <v>6239.51</v>
      </c>
      <c r="J284" s="10">
        <v>5278.09</v>
      </c>
      <c r="K284" s="10">
        <v>8138.11</v>
      </c>
      <c r="L284" s="10">
        <v>6725.7</v>
      </c>
      <c r="M284" s="10">
        <v>4992.83</v>
      </c>
      <c r="N284" s="10">
        <v>0</v>
      </c>
      <c r="O284" s="10">
        <v>0</v>
      </c>
      <c r="P284" s="10">
        <v>0</v>
      </c>
      <c r="Q284" s="10">
        <v>0</v>
      </c>
      <c r="R284" s="10">
        <v>2300</v>
      </c>
      <c r="S284" s="10">
        <v>0</v>
      </c>
      <c r="T284" s="7">
        <f t="shared" si="162"/>
        <v>40515.279999999999</v>
      </c>
      <c r="U284" s="8">
        <f t="shared" si="136"/>
        <v>0</v>
      </c>
      <c r="V284" s="8"/>
      <c r="Z284" s="10"/>
      <c r="AA284" s="8"/>
      <c r="AG284" s="10">
        <f>110093.03*1.03</f>
        <v>113395.82090000001</v>
      </c>
      <c r="AH284" s="61">
        <f t="shared" si="161"/>
        <v>72880.540900000007</v>
      </c>
      <c r="AI284" s="8">
        <f t="shared" si="159"/>
        <v>40515.279999999999</v>
      </c>
    </row>
    <row r="285" spans="2:35" ht="17.25" customHeight="1" x14ac:dyDescent="0.25">
      <c r="B285" s="64" t="s">
        <v>546</v>
      </c>
      <c r="C285" s="81" t="s">
        <v>547</v>
      </c>
      <c r="D285" s="64"/>
      <c r="F285" s="10">
        <f t="shared" si="140"/>
        <v>6645.79</v>
      </c>
      <c r="G285" s="10">
        <f t="shared" si="158"/>
        <v>6645.79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4713.37</v>
      </c>
      <c r="O285" s="10">
        <v>1932.42</v>
      </c>
      <c r="P285" s="10">
        <v>0</v>
      </c>
      <c r="Q285" s="10">
        <v>0</v>
      </c>
      <c r="R285" s="10">
        <v>0</v>
      </c>
      <c r="S285" s="10">
        <v>0</v>
      </c>
      <c r="T285" s="7">
        <f t="shared" si="162"/>
        <v>6645.79</v>
      </c>
      <c r="U285" s="8">
        <f t="shared" si="136"/>
        <v>0</v>
      </c>
      <c r="V285" s="8"/>
      <c r="Z285" s="10"/>
      <c r="AA285" s="8"/>
      <c r="AI285" s="8"/>
    </row>
    <row r="286" spans="2:35" ht="22.5" customHeight="1" x14ac:dyDescent="0.25">
      <c r="B286" s="64" t="s">
        <v>548</v>
      </c>
      <c r="C286" s="81" t="s">
        <v>549</v>
      </c>
      <c r="D286" s="64" t="s">
        <v>58</v>
      </c>
      <c r="E286" s="51">
        <f t="shared" si="157"/>
        <v>0</v>
      </c>
      <c r="F286" s="10">
        <f t="shared" si="140"/>
        <v>7914.8200000000006</v>
      </c>
      <c r="G286" s="10">
        <f t="shared" si="158"/>
        <v>7914.8200000000006</v>
      </c>
      <c r="H286" s="10">
        <v>359.37</v>
      </c>
      <c r="I286" s="10">
        <v>1775.16</v>
      </c>
      <c r="J286" s="10">
        <v>966.21</v>
      </c>
      <c r="K286" s="10">
        <v>1340.7</v>
      </c>
      <c r="L286" s="10">
        <v>966.21</v>
      </c>
      <c r="M286" s="10">
        <v>1775.16</v>
      </c>
      <c r="N286" s="10">
        <v>0</v>
      </c>
      <c r="O286" s="10">
        <v>732.01</v>
      </c>
      <c r="P286" s="10">
        <v>0</v>
      </c>
      <c r="Q286" s="10">
        <v>0</v>
      </c>
      <c r="R286" s="10">
        <v>0</v>
      </c>
      <c r="S286" s="10">
        <v>0</v>
      </c>
      <c r="T286" s="7">
        <f t="shared" si="162"/>
        <v>7914.8200000000006</v>
      </c>
      <c r="U286" s="8">
        <f t="shared" si="136"/>
        <v>0</v>
      </c>
      <c r="V286" s="8"/>
      <c r="Z286" s="10"/>
      <c r="AA286" s="8"/>
      <c r="AI286" s="8"/>
    </row>
    <row r="287" spans="2:35" ht="22.5" customHeight="1" x14ac:dyDescent="0.25">
      <c r="B287" s="64" t="s">
        <v>550</v>
      </c>
      <c r="C287" s="81" t="s">
        <v>551</v>
      </c>
      <c r="D287" s="64"/>
      <c r="F287" s="10">
        <f t="shared" si="140"/>
        <v>1953.93</v>
      </c>
      <c r="G287" s="10">
        <f t="shared" si="158"/>
        <v>1953.93</v>
      </c>
      <c r="H287" s="10">
        <v>0</v>
      </c>
      <c r="I287" s="10">
        <v>0</v>
      </c>
      <c r="J287" s="10">
        <v>0</v>
      </c>
      <c r="K287" s="10">
        <v>1660.9</v>
      </c>
      <c r="L287" s="10">
        <v>293.02999999999997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7">
        <f t="shared" si="162"/>
        <v>1953.93</v>
      </c>
      <c r="U287" s="8">
        <f t="shared" si="136"/>
        <v>0</v>
      </c>
      <c r="V287" s="8"/>
      <c r="Z287" s="10"/>
      <c r="AA287" s="8"/>
      <c r="AI287" s="8"/>
    </row>
    <row r="288" spans="2:35" ht="22.5" customHeight="1" x14ac:dyDescent="0.25">
      <c r="B288" s="64" t="s">
        <v>552</v>
      </c>
      <c r="C288" s="81" t="s">
        <v>553</v>
      </c>
      <c r="D288" s="64"/>
      <c r="F288" s="10">
        <f t="shared" si="140"/>
        <v>1464.03</v>
      </c>
      <c r="G288" s="10">
        <f t="shared" si="158"/>
        <v>1464.03</v>
      </c>
      <c r="H288" s="10">
        <v>0</v>
      </c>
      <c r="I288" s="10">
        <v>0</v>
      </c>
      <c r="J288" s="10">
        <v>0</v>
      </c>
      <c r="K288" s="10">
        <v>1464.03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10">
        <v>0</v>
      </c>
      <c r="S288" s="10">
        <v>0</v>
      </c>
      <c r="T288" s="7">
        <f t="shared" si="162"/>
        <v>1464.03</v>
      </c>
      <c r="U288" s="8">
        <f t="shared" si="136"/>
        <v>0</v>
      </c>
      <c r="V288" s="8"/>
      <c r="Z288" s="10"/>
      <c r="AA288" s="8"/>
      <c r="AI288" s="8"/>
    </row>
    <row r="289" spans="2:35" ht="25.5" customHeight="1" x14ac:dyDescent="0.25">
      <c r="B289" s="64" t="s">
        <v>554</v>
      </c>
      <c r="C289" s="81" t="s">
        <v>555</v>
      </c>
      <c r="D289" s="64"/>
      <c r="F289" s="10">
        <f t="shared" si="140"/>
        <v>4483.72</v>
      </c>
      <c r="G289" s="10">
        <f t="shared" si="158"/>
        <v>4483.72</v>
      </c>
      <c r="H289" s="10">
        <v>0</v>
      </c>
      <c r="I289" s="10">
        <v>0</v>
      </c>
      <c r="J289" s="10">
        <v>0</v>
      </c>
      <c r="K289" s="10">
        <v>1847.57</v>
      </c>
      <c r="L289" s="10">
        <v>1904.14</v>
      </c>
      <c r="M289" s="10">
        <v>0</v>
      </c>
      <c r="N289" s="10">
        <v>732.01</v>
      </c>
      <c r="O289" s="10">
        <v>0</v>
      </c>
      <c r="P289" s="10">
        <v>0</v>
      </c>
      <c r="Q289" s="10">
        <v>0</v>
      </c>
      <c r="R289" s="10">
        <v>0</v>
      </c>
      <c r="S289" s="10">
        <v>0</v>
      </c>
      <c r="T289" s="7">
        <f t="shared" si="162"/>
        <v>4483.72</v>
      </c>
      <c r="U289" s="8">
        <f t="shared" si="136"/>
        <v>0</v>
      </c>
      <c r="V289" s="8"/>
      <c r="Z289" s="10"/>
      <c r="AA289" s="8"/>
      <c r="AI289" s="8"/>
    </row>
    <row r="290" spans="2:35" ht="23.25" customHeight="1" x14ac:dyDescent="0.25">
      <c r="B290" s="64" t="s">
        <v>556</v>
      </c>
      <c r="C290" s="81" t="s">
        <v>557</v>
      </c>
      <c r="D290" s="64"/>
      <c r="F290" s="10">
        <f t="shared" si="140"/>
        <v>15457.19</v>
      </c>
      <c r="G290" s="10">
        <f t="shared" si="158"/>
        <v>15457.19</v>
      </c>
      <c r="H290" s="10">
        <v>1827.23</v>
      </c>
      <c r="I290" s="10">
        <v>3075.13</v>
      </c>
      <c r="J290" s="10">
        <v>6889.09</v>
      </c>
      <c r="K290" s="10">
        <v>0</v>
      </c>
      <c r="L290" s="10">
        <v>0</v>
      </c>
      <c r="M290" s="10">
        <v>1465.16</v>
      </c>
      <c r="N290" s="10">
        <v>1761.6</v>
      </c>
      <c r="O290" s="10">
        <v>438.98</v>
      </c>
      <c r="P290" s="10">
        <v>0</v>
      </c>
      <c r="Q290" s="10">
        <v>0</v>
      </c>
      <c r="R290" s="10">
        <v>0</v>
      </c>
      <c r="S290" s="10">
        <v>0</v>
      </c>
      <c r="T290" s="7">
        <f t="shared" si="162"/>
        <v>15457.19</v>
      </c>
      <c r="U290" s="8">
        <f t="shared" si="136"/>
        <v>0</v>
      </c>
      <c r="V290" s="8"/>
      <c r="Z290" s="10"/>
      <c r="AA290" s="8"/>
      <c r="AI290" s="8"/>
    </row>
    <row r="291" spans="2:35" ht="23.25" customHeight="1" x14ac:dyDescent="0.25">
      <c r="B291" s="64" t="s">
        <v>558</v>
      </c>
      <c r="C291" s="81" t="s">
        <v>559</v>
      </c>
      <c r="D291" s="64"/>
      <c r="F291" s="10">
        <f t="shared" si="140"/>
        <v>9636.7099999999991</v>
      </c>
      <c r="G291" s="10">
        <f t="shared" si="158"/>
        <v>9636.7099999999991</v>
      </c>
      <c r="H291" s="10">
        <v>281.2</v>
      </c>
      <c r="I291" s="10">
        <v>1465.15</v>
      </c>
      <c r="J291" s="10">
        <v>4101.3</v>
      </c>
      <c r="K291" s="10">
        <v>660.74</v>
      </c>
      <c r="L291" s="10">
        <v>855.34</v>
      </c>
      <c r="M291" s="10">
        <v>293.02999999999997</v>
      </c>
      <c r="N291" s="10">
        <v>880.23</v>
      </c>
      <c r="O291" s="10">
        <v>1099.72</v>
      </c>
      <c r="P291" s="10">
        <v>0</v>
      </c>
      <c r="Q291" s="10">
        <v>0</v>
      </c>
      <c r="R291" s="10">
        <v>0</v>
      </c>
      <c r="S291" s="10">
        <v>0</v>
      </c>
      <c r="T291" s="7">
        <f t="shared" si="162"/>
        <v>9636.7099999999991</v>
      </c>
      <c r="U291" s="8">
        <f t="shared" si="136"/>
        <v>0</v>
      </c>
      <c r="V291" s="8"/>
      <c r="Z291" s="10"/>
      <c r="AA291" s="8"/>
      <c r="AI291" s="8"/>
    </row>
    <row r="292" spans="2:35" ht="23.25" customHeight="1" x14ac:dyDescent="0.25">
      <c r="B292" s="64" t="s">
        <v>560</v>
      </c>
      <c r="C292" s="81" t="s">
        <v>561</v>
      </c>
      <c r="D292" s="64"/>
      <c r="F292" s="10">
        <f t="shared" si="140"/>
        <v>586.05999999999995</v>
      </c>
      <c r="G292" s="10">
        <f t="shared" si="158"/>
        <v>586.05999999999995</v>
      </c>
      <c r="H292" s="10">
        <v>0</v>
      </c>
      <c r="I292" s="10">
        <v>0</v>
      </c>
      <c r="J292" s="10">
        <v>0</v>
      </c>
      <c r="K292" s="10">
        <v>0</v>
      </c>
      <c r="L292" s="10">
        <v>293.02999999999997</v>
      </c>
      <c r="M292" s="10">
        <v>293.02999999999997</v>
      </c>
      <c r="N292" s="10">
        <v>0</v>
      </c>
      <c r="O292" s="10">
        <v>0</v>
      </c>
      <c r="P292" s="10">
        <v>0</v>
      </c>
      <c r="Q292" s="10">
        <v>0</v>
      </c>
      <c r="R292" s="10">
        <v>0</v>
      </c>
      <c r="S292" s="10">
        <v>0</v>
      </c>
      <c r="T292" s="7">
        <f t="shared" si="162"/>
        <v>586.05999999999995</v>
      </c>
      <c r="U292" s="8">
        <f t="shared" si="136"/>
        <v>0</v>
      </c>
      <c r="V292" s="8"/>
      <c r="Z292" s="10"/>
      <c r="AA292" s="8"/>
      <c r="AI292" s="8"/>
    </row>
    <row r="293" spans="2:35" ht="23.25" customHeight="1" x14ac:dyDescent="0.25">
      <c r="B293" s="64" t="s">
        <v>562</v>
      </c>
      <c r="C293" s="81" t="s">
        <v>563</v>
      </c>
      <c r="D293" s="64"/>
      <c r="F293" s="10">
        <f t="shared" si="140"/>
        <v>3593.33</v>
      </c>
      <c r="G293" s="10">
        <f t="shared" si="158"/>
        <v>3593.33</v>
      </c>
      <c r="H293" s="10">
        <v>0</v>
      </c>
      <c r="I293" s="10">
        <v>0</v>
      </c>
      <c r="J293" s="10">
        <v>1099.72</v>
      </c>
      <c r="K293" s="10">
        <v>0</v>
      </c>
      <c r="L293" s="10">
        <v>1026.18</v>
      </c>
      <c r="M293" s="10">
        <v>1174.4000000000001</v>
      </c>
      <c r="N293" s="10">
        <v>0</v>
      </c>
      <c r="O293" s="10">
        <v>293.02999999999997</v>
      </c>
      <c r="P293" s="10">
        <v>0</v>
      </c>
      <c r="Q293" s="10">
        <v>0</v>
      </c>
      <c r="R293" s="10">
        <v>0</v>
      </c>
      <c r="S293" s="10">
        <v>0</v>
      </c>
      <c r="T293" s="7">
        <f t="shared" si="162"/>
        <v>3593.33</v>
      </c>
      <c r="U293" s="8">
        <f t="shared" si="136"/>
        <v>0</v>
      </c>
      <c r="V293" s="8"/>
      <c r="Z293" s="10"/>
      <c r="AA293" s="8"/>
      <c r="AI293" s="8"/>
    </row>
    <row r="294" spans="2:35" ht="23.25" customHeight="1" x14ac:dyDescent="0.25">
      <c r="B294" s="64" t="s">
        <v>564</v>
      </c>
      <c r="C294" s="81" t="s">
        <v>565</v>
      </c>
      <c r="D294" s="64"/>
      <c r="F294" s="10">
        <f t="shared" si="140"/>
        <v>1246.8</v>
      </c>
      <c r="G294" s="10">
        <f t="shared" si="158"/>
        <v>1246.8</v>
      </c>
      <c r="H294" s="10">
        <v>0</v>
      </c>
      <c r="I294" s="10">
        <v>0</v>
      </c>
      <c r="J294" s="10">
        <v>0</v>
      </c>
      <c r="K294" s="10">
        <v>0</v>
      </c>
      <c r="L294" s="10">
        <v>660.74</v>
      </c>
      <c r="M294" s="10">
        <v>0</v>
      </c>
      <c r="N294" s="10">
        <v>0</v>
      </c>
      <c r="O294" s="10">
        <v>586.05999999999995</v>
      </c>
      <c r="P294" s="10">
        <v>0</v>
      </c>
      <c r="Q294" s="10">
        <v>0</v>
      </c>
      <c r="R294" s="10">
        <v>0</v>
      </c>
      <c r="S294" s="10">
        <v>0</v>
      </c>
      <c r="T294" s="7">
        <f t="shared" si="162"/>
        <v>1246.8</v>
      </c>
      <c r="U294" s="8">
        <f t="shared" si="136"/>
        <v>0</v>
      </c>
      <c r="V294" s="8"/>
      <c r="Z294" s="10"/>
      <c r="AA294" s="8"/>
      <c r="AI294" s="8"/>
    </row>
    <row r="295" spans="2:35" ht="23.25" customHeight="1" x14ac:dyDescent="0.25">
      <c r="B295" s="64" t="s">
        <v>566</v>
      </c>
      <c r="C295" s="81" t="s">
        <v>567</v>
      </c>
      <c r="D295" s="64"/>
      <c r="F295" s="10">
        <f t="shared" si="140"/>
        <v>353.99</v>
      </c>
      <c r="G295" s="10">
        <f t="shared" si="158"/>
        <v>353.99</v>
      </c>
      <c r="H295" s="10">
        <v>0</v>
      </c>
      <c r="I295" s="10">
        <v>0</v>
      </c>
      <c r="J295" s="10">
        <v>353.99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7">
        <f t="shared" si="162"/>
        <v>353.99</v>
      </c>
      <c r="U295" s="8">
        <f t="shared" si="136"/>
        <v>0</v>
      </c>
      <c r="V295" s="8"/>
      <c r="Z295" s="10"/>
      <c r="AA295" s="8"/>
      <c r="AI295" s="8"/>
    </row>
    <row r="296" spans="2:35" ht="12" customHeight="1" x14ac:dyDescent="0.25">
      <c r="B296" s="82" t="s">
        <v>568</v>
      </c>
      <c r="C296" s="62" t="s">
        <v>569</v>
      </c>
      <c r="D296" s="62"/>
      <c r="E296" s="51">
        <f t="shared" ref="E296" si="163">SUM(H296:S296)-G296</f>
        <v>0</v>
      </c>
      <c r="F296" s="10"/>
      <c r="G296" s="63">
        <f>+G297+G298</f>
        <v>30322.58</v>
      </c>
      <c r="H296" s="63">
        <f t="shared" ref="H296:S296" si="164">+H297+H298</f>
        <v>0</v>
      </c>
      <c r="I296" s="63">
        <f t="shared" si="164"/>
        <v>0</v>
      </c>
      <c r="J296" s="63">
        <f t="shared" si="164"/>
        <v>0</v>
      </c>
      <c r="K296" s="63">
        <f t="shared" si="164"/>
        <v>0</v>
      </c>
      <c r="L296" s="63">
        <f t="shared" si="164"/>
        <v>0</v>
      </c>
      <c r="M296" s="63">
        <f t="shared" si="164"/>
        <v>0</v>
      </c>
      <c r="N296" s="63">
        <f t="shared" si="164"/>
        <v>17124.91</v>
      </c>
      <c r="O296" s="63">
        <f t="shared" si="164"/>
        <v>10897.67</v>
      </c>
      <c r="P296" s="63">
        <f t="shared" si="164"/>
        <v>0</v>
      </c>
      <c r="Q296" s="63">
        <f t="shared" si="164"/>
        <v>0</v>
      </c>
      <c r="R296" s="63">
        <f t="shared" si="164"/>
        <v>2300</v>
      </c>
      <c r="S296" s="63">
        <f t="shared" si="164"/>
        <v>0</v>
      </c>
      <c r="T296" s="7">
        <f t="shared" si="162"/>
        <v>30322.58</v>
      </c>
      <c r="U296" s="8">
        <f t="shared" si="136"/>
        <v>0</v>
      </c>
      <c r="V296" s="8"/>
      <c r="Z296" s="63"/>
      <c r="AA296" s="8"/>
      <c r="AH296" s="61">
        <f>+AG296-G296</f>
        <v>-30322.58</v>
      </c>
      <c r="AI296" s="8"/>
    </row>
    <row r="297" spans="2:35" ht="9.75" customHeight="1" x14ac:dyDescent="0.25">
      <c r="B297" s="64" t="s">
        <v>570</v>
      </c>
      <c r="C297" s="64" t="s">
        <v>571</v>
      </c>
      <c r="D297" s="64" t="s">
        <v>58</v>
      </c>
      <c r="E297" s="51">
        <f t="shared" si="157"/>
        <v>0</v>
      </c>
      <c r="F297" s="10">
        <f t="shared" si="140"/>
        <v>30322.58</v>
      </c>
      <c r="G297" s="10">
        <f>SUM(H297:S297)</f>
        <v>30322.58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17124.91</v>
      </c>
      <c r="O297" s="10">
        <v>10897.67</v>
      </c>
      <c r="P297" s="10">
        <v>0</v>
      </c>
      <c r="Q297" s="10">
        <v>0</v>
      </c>
      <c r="R297" s="10">
        <v>2300</v>
      </c>
      <c r="S297" s="10">
        <v>0</v>
      </c>
      <c r="T297" s="7">
        <f t="shared" si="162"/>
        <v>30322.58</v>
      </c>
      <c r="U297" s="8">
        <f t="shared" ref="U297:U365" si="165">+T297-G297</f>
        <v>0</v>
      </c>
      <c r="V297" s="8"/>
      <c r="Z297" s="10"/>
      <c r="AA297" s="8"/>
      <c r="AG297" s="10">
        <f>11817.5*1.03</f>
        <v>12172.025</v>
      </c>
      <c r="AH297" s="61">
        <f>+AG297-G297</f>
        <v>-18150.555</v>
      </c>
      <c r="AI297" s="8">
        <f>+G297</f>
        <v>30322.58</v>
      </c>
    </row>
    <row r="298" spans="2:35" ht="9.75" customHeight="1" x14ac:dyDescent="0.25">
      <c r="B298" s="64" t="s">
        <v>572</v>
      </c>
      <c r="C298" s="64" t="s">
        <v>573</v>
      </c>
      <c r="D298" s="64" t="s">
        <v>58</v>
      </c>
      <c r="E298" s="51">
        <f t="shared" si="157"/>
        <v>0</v>
      </c>
      <c r="F298" s="10">
        <f t="shared" si="140"/>
        <v>0</v>
      </c>
      <c r="G298" s="10">
        <f>SUM(H298:S298)</f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0</v>
      </c>
      <c r="N298" s="10"/>
      <c r="O298" s="10"/>
      <c r="P298" s="10">
        <v>0</v>
      </c>
      <c r="Q298" s="10"/>
      <c r="R298" s="10"/>
      <c r="S298" s="10"/>
      <c r="T298" s="7">
        <f t="shared" si="162"/>
        <v>0</v>
      </c>
      <c r="U298" s="8">
        <f t="shared" si="165"/>
        <v>0</v>
      </c>
      <c r="V298" s="8"/>
      <c r="Z298" s="10"/>
      <c r="AA298" s="8"/>
      <c r="AI298" s="8"/>
    </row>
    <row r="299" spans="2:35" ht="9.75" customHeight="1" x14ac:dyDescent="0.25">
      <c r="B299" s="62" t="s">
        <v>574</v>
      </c>
      <c r="C299" s="62" t="s">
        <v>575</v>
      </c>
      <c r="D299" s="62"/>
      <c r="E299" s="51">
        <f t="shared" ref="E299:E302" si="166">SUM(H299:S299)-G299</f>
        <v>0</v>
      </c>
      <c r="F299" s="10"/>
      <c r="G299" s="63">
        <f>+G300</f>
        <v>113.14</v>
      </c>
      <c r="H299" s="63">
        <f t="shared" ref="H299:Z299" si="167">+H300</f>
        <v>0</v>
      </c>
      <c r="I299" s="63">
        <f t="shared" si="167"/>
        <v>0</v>
      </c>
      <c r="J299" s="63">
        <f t="shared" si="167"/>
        <v>0</v>
      </c>
      <c r="K299" s="63">
        <f t="shared" si="167"/>
        <v>0</v>
      </c>
      <c r="L299" s="63">
        <f t="shared" si="167"/>
        <v>0</v>
      </c>
      <c r="M299" s="63">
        <f t="shared" si="167"/>
        <v>0</v>
      </c>
      <c r="N299" s="63">
        <f t="shared" si="167"/>
        <v>113.14</v>
      </c>
      <c r="O299" s="63">
        <f t="shared" si="167"/>
        <v>0</v>
      </c>
      <c r="P299" s="63">
        <f t="shared" si="167"/>
        <v>0</v>
      </c>
      <c r="Q299" s="63">
        <f t="shared" si="167"/>
        <v>0</v>
      </c>
      <c r="R299" s="63">
        <f t="shared" si="167"/>
        <v>0</v>
      </c>
      <c r="S299" s="63">
        <f t="shared" si="167"/>
        <v>0</v>
      </c>
      <c r="T299" s="7">
        <f t="shared" si="162"/>
        <v>113.14</v>
      </c>
      <c r="U299" s="8">
        <f t="shared" si="165"/>
        <v>0</v>
      </c>
      <c r="V299" s="8"/>
      <c r="Z299" s="63">
        <f t="shared" si="167"/>
        <v>2280.7800000000002</v>
      </c>
      <c r="AA299" s="8">
        <f t="shared" si="160"/>
        <v>2167.6400000000003</v>
      </c>
      <c r="AH299" s="61">
        <f t="shared" si="161"/>
        <v>-113.14</v>
      </c>
      <c r="AI299" s="8"/>
    </row>
    <row r="300" spans="2:35" ht="9.75" customHeight="1" x14ac:dyDescent="0.25">
      <c r="B300" s="64" t="s">
        <v>576</v>
      </c>
      <c r="C300" s="64" t="s">
        <v>577</v>
      </c>
      <c r="D300" s="64" t="s">
        <v>578</v>
      </c>
      <c r="E300" s="51">
        <f t="shared" si="157"/>
        <v>0</v>
      </c>
      <c r="F300" s="10">
        <f t="shared" si="140"/>
        <v>113.14</v>
      </c>
      <c r="G300" s="10">
        <f>SUM(H300:S300)</f>
        <v>113.14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113.14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7">
        <f t="shared" si="162"/>
        <v>113.14</v>
      </c>
      <c r="U300" s="8">
        <f t="shared" si="165"/>
        <v>0</v>
      </c>
      <c r="V300" s="8"/>
      <c r="Z300" s="10">
        <v>2280.7800000000002</v>
      </c>
      <c r="AA300" s="8">
        <f t="shared" si="160"/>
        <v>2167.6400000000003</v>
      </c>
      <c r="AG300" s="10">
        <f>2214.35*1.03</f>
        <v>2280.7804999999998</v>
      </c>
      <c r="AH300" s="61">
        <f t="shared" si="161"/>
        <v>2167.6405</v>
      </c>
      <c r="AI300" s="8">
        <f>+G300</f>
        <v>113.14</v>
      </c>
    </row>
    <row r="301" spans="2:35" ht="21" customHeight="1" x14ac:dyDescent="0.25">
      <c r="B301" s="62" t="s">
        <v>579</v>
      </c>
      <c r="C301" s="71" t="s">
        <v>580</v>
      </c>
      <c r="D301" s="71"/>
      <c r="E301" s="51">
        <f t="shared" si="166"/>
        <v>0</v>
      </c>
      <c r="F301" s="10"/>
      <c r="G301" s="63">
        <f t="shared" ref="G301:S301" si="168">+G302+G315</f>
        <v>565195.28999999992</v>
      </c>
      <c r="H301" s="63">
        <f t="shared" si="168"/>
        <v>71018.039999999994</v>
      </c>
      <c r="I301" s="63">
        <f t="shared" si="168"/>
        <v>33304</v>
      </c>
      <c r="J301" s="63">
        <f t="shared" si="168"/>
        <v>68334.259999999995</v>
      </c>
      <c r="K301" s="63">
        <f t="shared" si="168"/>
        <v>42310.2</v>
      </c>
      <c r="L301" s="63">
        <f t="shared" si="168"/>
        <v>30424.93</v>
      </c>
      <c r="M301" s="63">
        <f t="shared" si="168"/>
        <v>34339</v>
      </c>
      <c r="N301" s="63">
        <f t="shared" si="168"/>
        <v>28048.2</v>
      </c>
      <c r="O301" s="63">
        <f t="shared" si="168"/>
        <v>37844</v>
      </c>
      <c r="P301" s="63">
        <f t="shared" si="168"/>
        <v>48019.740000000005</v>
      </c>
      <c r="Q301" s="63">
        <f t="shared" si="168"/>
        <v>58862.2</v>
      </c>
      <c r="R301" s="63">
        <f t="shared" si="168"/>
        <v>48949.2</v>
      </c>
      <c r="S301" s="63">
        <f t="shared" si="168"/>
        <v>63741.520000000004</v>
      </c>
      <c r="T301" s="7">
        <f t="shared" si="162"/>
        <v>565195.29</v>
      </c>
      <c r="U301" s="8">
        <f t="shared" si="165"/>
        <v>0</v>
      </c>
      <c r="V301" s="8"/>
      <c r="Z301" s="63"/>
      <c r="AA301" s="8"/>
      <c r="AH301" s="61">
        <f t="shared" si="161"/>
        <v>-565195.28999999992</v>
      </c>
      <c r="AI301" s="8"/>
    </row>
    <row r="302" spans="2:35" ht="9.75" customHeight="1" x14ac:dyDescent="0.25">
      <c r="B302" s="62" t="s">
        <v>581</v>
      </c>
      <c r="C302" s="62" t="s">
        <v>582</v>
      </c>
      <c r="D302" s="62"/>
      <c r="E302" s="51">
        <f t="shared" si="166"/>
        <v>0</v>
      </c>
      <c r="F302" s="10"/>
      <c r="G302" s="63">
        <f>SUM(G303:G314)</f>
        <v>397349.30999999994</v>
      </c>
      <c r="H302" s="63">
        <f t="shared" ref="H302:S302" si="169">SUM(H303:H314)</f>
        <v>43935.17</v>
      </c>
      <c r="I302" s="63">
        <f t="shared" si="169"/>
        <v>23444</v>
      </c>
      <c r="J302" s="63">
        <f t="shared" si="169"/>
        <v>40814</v>
      </c>
      <c r="K302" s="63">
        <f t="shared" si="169"/>
        <v>29371</v>
      </c>
      <c r="L302" s="63">
        <f t="shared" si="169"/>
        <v>23186</v>
      </c>
      <c r="M302" s="63">
        <f t="shared" si="169"/>
        <v>24479</v>
      </c>
      <c r="N302" s="63">
        <f t="shared" si="169"/>
        <v>18849</v>
      </c>
      <c r="O302" s="63">
        <f t="shared" si="169"/>
        <v>27984</v>
      </c>
      <c r="P302" s="63">
        <f t="shared" si="169"/>
        <v>35808.36</v>
      </c>
      <c r="Q302" s="63">
        <f t="shared" si="169"/>
        <v>42930.82</v>
      </c>
      <c r="R302" s="63">
        <f t="shared" si="169"/>
        <v>36737.82</v>
      </c>
      <c r="S302" s="63">
        <f t="shared" si="169"/>
        <v>49810.14</v>
      </c>
      <c r="T302" s="7">
        <f t="shared" si="162"/>
        <v>397349.31</v>
      </c>
      <c r="U302" s="8">
        <f t="shared" si="165"/>
        <v>0</v>
      </c>
      <c r="V302" s="8"/>
      <c r="Z302" s="63"/>
      <c r="AA302" s="8"/>
      <c r="AH302" s="61">
        <f t="shared" si="161"/>
        <v>-397349.30999999994</v>
      </c>
      <c r="AI302" s="8"/>
    </row>
    <row r="303" spans="2:35" ht="11.25" customHeight="1" x14ac:dyDescent="0.25">
      <c r="B303" s="64" t="s">
        <v>583</v>
      </c>
      <c r="C303" s="64" t="s">
        <v>584</v>
      </c>
      <c r="D303" s="64" t="s">
        <v>585</v>
      </c>
      <c r="E303" s="51">
        <f t="shared" si="157"/>
        <v>0</v>
      </c>
      <c r="F303" s="10">
        <f t="shared" ref="F303:F390" si="170">+G303</f>
        <v>232890.47</v>
      </c>
      <c r="G303" s="10">
        <f t="shared" ref="G303:G314" si="171">SUM(H303:S303)</f>
        <v>232890.47</v>
      </c>
      <c r="H303" s="10">
        <v>20076.47</v>
      </c>
      <c r="I303" s="10">
        <v>21957</v>
      </c>
      <c r="J303" s="10">
        <v>13512</v>
      </c>
      <c r="K303" s="10">
        <v>21957</v>
      </c>
      <c r="L303" s="10">
        <v>19705</v>
      </c>
      <c r="M303" s="10">
        <v>21957</v>
      </c>
      <c r="N303" s="10">
        <v>16327</v>
      </c>
      <c r="O303" s="10">
        <v>21957</v>
      </c>
      <c r="P303" s="10">
        <v>15764</v>
      </c>
      <c r="Q303" s="10">
        <v>21957</v>
      </c>
      <c r="R303" s="10">
        <v>15764</v>
      </c>
      <c r="S303" s="10">
        <v>21957</v>
      </c>
      <c r="T303" s="7">
        <f t="shared" si="162"/>
        <v>232890.47</v>
      </c>
      <c r="U303" s="8">
        <f t="shared" si="165"/>
        <v>0</v>
      </c>
      <c r="V303" s="8"/>
      <c r="Z303" s="10"/>
      <c r="AA303" s="8"/>
      <c r="AG303" s="10">
        <f>4261182.22*1.03</f>
        <v>4389017.6865999997</v>
      </c>
      <c r="AH303" s="61">
        <f t="shared" si="161"/>
        <v>4156127.2165999995</v>
      </c>
      <c r="AI303" s="8">
        <f t="shared" ref="AI303:AI312" si="172">+G303</f>
        <v>232890.47</v>
      </c>
    </row>
    <row r="304" spans="2:35" ht="11.25" customHeight="1" x14ac:dyDescent="0.25">
      <c r="B304" s="64" t="s">
        <v>586</v>
      </c>
      <c r="C304" s="64" t="s">
        <v>587</v>
      </c>
      <c r="D304" s="64" t="s">
        <v>585</v>
      </c>
      <c r="F304" s="10">
        <f t="shared" si="170"/>
        <v>55672</v>
      </c>
      <c r="G304" s="10">
        <f t="shared" si="171"/>
        <v>55672</v>
      </c>
      <c r="H304" s="10">
        <v>20017</v>
      </c>
      <c r="I304" s="10">
        <v>337</v>
      </c>
      <c r="J304" s="10">
        <v>19142</v>
      </c>
      <c r="K304" s="10">
        <v>1685</v>
      </c>
      <c r="L304" s="10">
        <v>0</v>
      </c>
      <c r="M304" s="10">
        <v>1685</v>
      </c>
      <c r="N304" s="10">
        <v>1685</v>
      </c>
      <c r="O304" s="10">
        <v>2359</v>
      </c>
      <c r="P304" s="10">
        <v>1685</v>
      </c>
      <c r="Q304" s="10">
        <v>2359</v>
      </c>
      <c r="R304" s="10">
        <v>2359</v>
      </c>
      <c r="S304" s="10">
        <v>2359</v>
      </c>
      <c r="T304" s="7">
        <f t="shared" si="162"/>
        <v>55672</v>
      </c>
      <c r="U304" s="8">
        <f t="shared" si="165"/>
        <v>0</v>
      </c>
      <c r="V304" s="8"/>
      <c r="Z304" s="10"/>
      <c r="AA304" s="8"/>
      <c r="AI304" s="8"/>
    </row>
    <row r="305" spans="2:35" ht="11.25" customHeight="1" x14ac:dyDescent="0.25">
      <c r="B305" s="64" t="s">
        <v>588</v>
      </c>
      <c r="C305" s="64" t="s">
        <v>589</v>
      </c>
      <c r="D305" s="64" t="s">
        <v>585</v>
      </c>
      <c r="E305" s="51">
        <f t="shared" si="157"/>
        <v>0</v>
      </c>
      <c r="F305" s="10">
        <f t="shared" si="170"/>
        <v>36030</v>
      </c>
      <c r="G305" s="10">
        <f t="shared" si="171"/>
        <v>36030</v>
      </c>
      <c r="H305" s="10">
        <v>3018</v>
      </c>
      <c r="I305" s="10">
        <v>524</v>
      </c>
      <c r="J305" s="10">
        <v>6812</v>
      </c>
      <c r="K305" s="10">
        <v>3144</v>
      </c>
      <c r="L305" s="10">
        <v>3144</v>
      </c>
      <c r="M305" s="10">
        <v>524</v>
      </c>
      <c r="N305" s="10">
        <v>524</v>
      </c>
      <c r="O305" s="10">
        <v>3668</v>
      </c>
      <c r="P305" s="10">
        <v>3668</v>
      </c>
      <c r="Q305" s="10">
        <v>3668</v>
      </c>
      <c r="R305" s="10">
        <v>3668</v>
      </c>
      <c r="S305" s="10">
        <v>3668</v>
      </c>
      <c r="T305" s="7">
        <f t="shared" si="162"/>
        <v>36030</v>
      </c>
      <c r="U305" s="8">
        <f t="shared" si="165"/>
        <v>0</v>
      </c>
      <c r="V305" s="8"/>
      <c r="Z305" s="10"/>
      <c r="AA305" s="8"/>
      <c r="AG305" s="10">
        <f>420782.08*1.03</f>
        <v>433405.54240000003</v>
      </c>
      <c r="AH305" s="61">
        <f t="shared" si="161"/>
        <v>397375.54240000003</v>
      </c>
      <c r="AI305" s="8">
        <f t="shared" si="172"/>
        <v>36030</v>
      </c>
    </row>
    <row r="306" spans="2:35" ht="11.25" customHeight="1" x14ac:dyDescent="0.25">
      <c r="B306" s="64" t="s">
        <v>590</v>
      </c>
      <c r="C306" s="64" t="s">
        <v>591</v>
      </c>
      <c r="D306" s="64" t="s">
        <v>585</v>
      </c>
      <c r="F306" s="10">
        <f t="shared" si="170"/>
        <v>4803</v>
      </c>
      <c r="G306" s="10">
        <f t="shared" si="171"/>
        <v>4803</v>
      </c>
      <c r="H306" s="10">
        <v>301</v>
      </c>
      <c r="I306" s="10">
        <v>626</v>
      </c>
      <c r="J306" s="10">
        <v>1348</v>
      </c>
      <c r="K306" s="10">
        <v>1565</v>
      </c>
      <c r="L306" s="10">
        <v>337</v>
      </c>
      <c r="M306" s="10">
        <v>313</v>
      </c>
      <c r="N306" s="10">
        <v>313</v>
      </c>
      <c r="O306" s="10"/>
      <c r="P306" s="10"/>
      <c r="Q306" s="10"/>
      <c r="R306" s="10"/>
      <c r="S306" s="10"/>
      <c r="T306" s="7">
        <f t="shared" si="162"/>
        <v>4803</v>
      </c>
      <c r="U306" s="8">
        <f t="shared" si="165"/>
        <v>0</v>
      </c>
      <c r="V306" s="8"/>
      <c r="Z306" s="10"/>
      <c r="AA306" s="8"/>
      <c r="AI306" s="8"/>
    </row>
    <row r="307" spans="2:35" ht="18" customHeight="1" x14ac:dyDescent="0.25">
      <c r="B307" s="64" t="s">
        <v>592</v>
      </c>
      <c r="C307" s="73" t="s">
        <v>593</v>
      </c>
      <c r="D307" s="64" t="s">
        <v>585</v>
      </c>
      <c r="E307" s="51">
        <f t="shared" si="157"/>
        <v>0</v>
      </c>
      <c r="F307" s="10">
        <f t="shared" si="170"/>
        <v>43882.879999999997</v>
      </c>
      <c r="G307" s="10">
        <f t="shared" si="171"/>
        <v>43882.879999999997</v>
      </c>
      <c r="H307" s="10">
        <v>0</v>
      </c>
      <c r="I307" s="10">
        <v>0</v>
      </c>
      <c r="J307" s="10">
        <v>0</v>
      </c>
      <c r="K307" s="10">
        <v>1020</v>
      </c>
      <c r="L307" s="10">
        <v>0</v>
      </c>
      <c r="M307" s="10">
        <v>0</v>
      </c>
      <c r="N307" s="10"/>
      <c r="O307" s="10"/>
      <c r="P307" s="10">
        <v>10428</v>
      </c>
      <c r="Q307" s="10">
        <v>10178.959999999999</v>
      </c>
      <c r="R307" s="10">
        <v>10178.959999999999</v>
      </c>
      <c r="S307" s="10">
        <v>12076.96</v>
      </c>
      <c r="T307" s="7">
        <f t="shared" si="162"/>
        <v>43882.879999999997</v>
      </c>
      <c r="U307" s="8">
        <f t="shared" si="165"/>
        <v>0</v>
      </c>
      <c r="V307" s="8"/>
      <c r="Z307" s="10"/>
      <c r="AA307" s="8"/>
      <c r="AG307" s="10">
        <f>207600*1.03</f>
        <v>213828</v>
      </c>
      <c r="AH307" s="61">
        <f t="shared" si="161"/>
        <v>169945.12</v>
      </c>
      <c r="AI307" s="8">
        <f t="shared" si="172"/>
        <v>43882.879999999997</v>
      </c>
    </row>
    <row r="308" spans="2:35" ht="18" customHeight="1" x14ac:dyDescent="0.25">
      <c r="B308" s="64" t="s">
        <v>594</v>
      </c>
      <c r="C308" s="73" t="s">
        <v>595</v>
      </c>
      <c r="D308" s="64" t="s">
        <v>585</v>
      </c>
      <c r="F308" s="10">
        <f t="shared" si="170"/>
        <v>99.56</v>
      </c>
      <c r="G308" s="10">
        <f t="shared" si="171"/>
        <v>99.56</v>
      </c>
      <c r="H308" s="10">
        <v>99.56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/>
      <c r="O308" s="10"/>
      <c r="P308" s="10"/>
      <c r="Q308" s="10"/>
      <c r="R308" s="10"/>
      <c r="S308" s="10"/>
      <c r="T308" s="7">
        <f t="shared" si="162"/>
        <v>99.56</v>
      </c>
      <c r="U308" s="8">
        <f t="shared" si="165"/>
        <v>0</v>
      </c>
      <c r="V308" s="8"/>
      <c r="Z308" s="10"/>
      <c r="AA308" s="8"/>
      <c r="AI308" s="8"/>
    </row>
    <row r="309" spans="2:35" ht="17.25" customHeight="1" x14ac:dyDescent="0.25">
      <c r="B309" s="64" t="s">
        <v>596</v>
      </c>
      <c r="C309" s="73" t="s">
        <v>597</v>
      </c>
      <c r="D309" s="64" t="s">
        <v>585</v>
      </c>
      <c r="E309" s="51">
        <f t="shared" si="157"/>
        <v>0</v>
      </c>
      <c r="F309" s="10">
        <f t="shared" si="170"/>
        <v>19266.800000000003</v>
      </c>
      <c r="G309" s="10">
        <f t="shared" si="171"/>
        <v>19266.800000000003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/>
      <c r="O309" s="10"/>
      <c r="P309" s="10">
        <v>2970</v>
      </c>
      <c r="Q309" s="10">
        <v>4015.44</v>
      </c>
      <c r="R309" s="10">
        <v>4015.44</v>
      </c>
      <c r="S309" s="10">
        <v>8265.92</v>
      </c>
      <c r="T309" s="7">
        <f t="shared" si="162"/>
        <v>19266.800000000003</v>
      </c>
      <c r="U309" s="8">
        <f t="shared" si="165"/>
        <v>0</v>
      </c>
      <c r="V309" s="8"/>
      <c r="Z309" s="10"/>
      <c r="AA309" s="8"/>
      <c r="AG309" s="10">
        <f>51790.72*1.03</f>
        <v>53344.441600000006</v>
      </c>
      <c r="AH309" s="61">
        <f t="shared" si="161"/>
        <v>34077.641600000003</v>
      </c>
      <c r="AI309" s="8">
        <f t="shared" si="172"/>
        <v>19266.800000000003</v>
      </c>
    </row>
    <row r="310" spans="2:35" ht="17.25" customHeight="1" x14ac:dyDescent="0.25">
      <c r="B310" s="64" t="s">
        <v>598</v>
      </c>
      <c r="C310" s="73" t="s">
        <v>599</v>
      </c>
      <c r="D310" s="64" t="s">
        <v>585</v>
      </c>
      <c r="E310" s="51">
        <f t="shared" si="157"/>
        <v>0</v>
      </c>
      <c r="F310" s="10">
        <f t="shared" si="170"/>
        <v>642.72</v>
      </c>
      <c r="G310" s="10">
        <f t="shared" si="171"/>
        <v>642.72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/>
      <c r="O310" s="10"/>
      <c r="P310" s="10">
        <v>160.68</v>
      </c>
      <c r="Q310" s="10">
        <v>160.68</v>
      </c>
      <c r="R310" s="10">
        <v>160.68</v>
      </c>
      <c r="S310" s="10">
        <v>160.68</v>
      </c>
      <c r="T310" s="7">
        <f t="shared" si="162"/>
        <v>642.72</v>
      </c>
      <c r="U310" s="8">
        <f t="shared" si="165"/>
        <v>0</v>
      </c>
      <c r="V310" s="8"/>
      <c r="Z310" s="10"/>
      <c r="AA310" s="8"/>
      <c r="AI310" s="8"/>
    </row>
    <row r="311" spans="2:35" ht="11.25" customHeight="1" x14ac:dyDescent="0.25">
      <c r="B311" s="64" t="s">
        <v>600</v>
      </c>
      <c r="C311" s="64" t="s">
        <v>601</v>
      </c>
      <c r="D311" s="64" t="s">
        <v>585</v>
      </c>
      <c r="E311" s="51">
        <f t="shared" si="157"/>
        <v>0</v>
      </c>
      <c r="F311" s="10">
        <f t="shared" si="170"/>
        <v>253.43</v>
      </c>
      <c r="G311" s="10">
        <f t="shared" si="171"/>
        <v>253.43</v>
      </c>
      <c r="H311" s="10">
        <v>253.43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/>
      <c r="O311" s="10"/>
      <c r="P311" s="10">
        <v>0</v>
      </c>
      <c r="Q311" s="10">
        <v>0</v>
      </c>
      <c r="R311" s="10">
        <v>0</v>
      </c>
      <c r="S311" s="10">
        <v>0</v>
      </c>
      <c r="T311" s="7">
        <f t="shared" si="162"/>
        <v>253.43</v>
      </c>
      <c r="U311" s="8">
        <f t="shared" si="165"/>
        <v>0</v>
      </c>
      <c r="V311" s="8"/>
      <c r="Z311" s="10">
        <v>33784</v>
      </c>
      <c r="AA311" s="8">
        <f t="shared" si="160"/>
        <v>33530.57</v>
      </c>
      <c r="AG311" s="10">
        <f>32800*1.03</f>
        <v>33784</v>
      </c>
      <c r="AH311" s="61">
        <f t="shared" si="161"/>
        <v>33530.57</v>
      </c>
      <c r="AI311" s="8">
        <f t="shared" si="172"/>
        <v>253.43</v>
      </c>
    </row>
    <row r="312" spans="2:35" ht="17.25" customHeight="1" x14ac:dyDescent="0.25">
      <c r="B312" s="64" t="s">
        <v>602</v>
      </c>
      <c r="C312" s="73" t="s">
        <v>603</v>
      </c>
      <c r="D312" s="64" t="s">
        <v>585</v>
      </c>
      <c r="E312" s="51">
        <f t="shared" si="157"/>
        <v>0</v>
      </c>
      <c r="F312" s="10">
        <f t="shared" si="170"/>
        <v>169.71</v>
      </c>
      <c r="G312" s="10">
        <f t="shared" si="171"/>
        <v>169.71</v>
      </c>
      <c r="H312" s="10">
        <v>169.71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/>
      <c r="O312" s="10"/>
      <c r="P312" s="10">
        <v>0</v>
      </c>
      <c r="Q312" s="10">
        <v>0</v>
      </c>
      <c r="R312" s="10">
        <v>0</v>
      </c>
      <c r="S312" s="10">
        <v>0</v>
      </c>
      <c r="T312" s="7">
        <f t="shared" si="162"/>
        <v>169.71</v>
      </c>
      <c r="U312" s="8">
        <f t="shared" si="165"/>
        <v>0</v>
      </c>
      <c r="V312" s="8"/>
      <c r="Z312" s="10"/>
      <c r="AA312" s="8"/>
      <c r="AG312" s="10">
        <f>51790.72*1.03</f>
        <v>53344.441600000006</v>
      </c>
      <c r="AH312" s="61">
        <f t="shared" si="161"/>
        <v>53174.731600000006</v>
      </c>
      <c r="AI312" s="8">
        <f t="shared" si="172"/>
        <v>169.71</v>
      </c>
    </row>
    <row r="313" spans="2:35" ht="17.25" customHeight="1" x14ac:dyDescent="0.25">
      <c r="B313" s="64" t="s">
        <v>604</v>
      </c>
      <c r="C313" s="73" t="s">
        <v>605</v>
      </c>
      <c r="D313" s="64" t="s">
        <v>585</v>
      </c>
      <c r="E313" s="51">
        <f t="shared" si="157"/>
        <v>0</v>
      </c>
      <c r="F313" s="10">
        <f t="shared" si="170"/>
        <v>642.72</v>
      </c>
      <c r="G313" s="10">
        <f t="shared" si="171"/>
        <v>642.72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/>
      <c r="O313" s="10"/>
      <c r="P313" s="10">
        <v>160.68</v>
      </c>
      <c r="Q313" s="10">
        <v>160.68</v>
      </c>
      <c r="R313" s="10">
        <v>160.68</v>
      </c>
      <c r="S313" s="10">
        <v>160.68</v>
      </c>
      <c r="T313" s="7">
        <f t="shared" si="162"/>
        <v>642.72</v>
      </c>
      <c r="U313" s="8">
        <f t="shared" si="165"/>
        <v>0</v>
      </c>
      <c r="V313" s="8"/>
      <c r="Z313" s="10"/>
      <c r="AA313" s="8"/>
      <c r="AI313" s="8"/>
    </row>
    <row r="314" spans="2:35" ht="27.75" customHeight="1" x14ac:dyDescent="0.25">
      <c r="B314" s="64" t="s">
        <v>606</v>
      </c>
      <c r="C314" s="73" t="s">
        <v>607</v>
      </c>
      <c r="D314" s="64" t="s">
        <v>585</v>
      </c>
      <c r="E314" s="51">
        <f t="shared" si="157"/>
        <v>0</v>
      </c>
      <c r="F314" s="10">
        <f t="shared" si="170"/>
        <v>2996.02</v>
      </c>
      <c r="G314" s="10">
        <f t="shared" si="171"/>
        <v>2996.02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0</v>
      </c>
      <c r="N314" s="10"/>
      <c r="O314" s="10"/>
      <c r="P314" s="10">
        <v>972</v>
      </c>
      <c r="Q314" s="65">
        <v>431.06</v>
      </c>
      <c r="R314" s="65">
        <v>431.06</v>
      </c>
      <c r="S314" s="10">
        <v>1161.9000000000001</v>
      </c>
      <c r="T314" s="7">
        <f t="shared" si="162"/>
        <v>2996.02</v>
      </c>
      <c r="U314" s="8">
        <f t="shared" si="165"/>
        <v>0</v>
      </c>
      <c r="V314" s="8"/>
      <c r="Z314" s="10"/>
      <c r="AA314" s="8"/>
      <c r="AI314" s="8"/>
    </row>
    <row r="315" spans="2:35" ht="11.25" customHeight="1" x14ac:dyDescent="0.25">
      <c r="B315" s="62" t="s">
        <v>608</v>
      </c>
      <c r="C315" s="62" t="s">
        <v>609</v>
      </c>
      <c r="D315" s="62"/>
      <c r="E315" s="51">
        <f t="shared" ref="E315" si="173">SUM(H315:S315)-G315</f>
        <v>0</v>
      </c>
      <c r="F315" s="10"/>
      <c r="G315" s="63">
        <f>SUM(G316:G327)</f>
        <v>167845.97999999998</v>
      </c>
      <c r="H315" s="63">
        <f t="shared" ref="H315:S315" si="174">SUM(H316:H327)</f>
        <v>27082.87</v>
      </c>
      <c r="I315" s="63">
        <f t="shared" si="174"/>
        <v>9860</v>
      </c>
      <c r="J315" s="63">
        <f t="shared" si="174"/>
        <v>27520.26</v>
      </c>
      <c r="K315" s="63">
        <f t="shared" si="174"/>
        <v>12939.2</v>
      </c>
      <c r="L315" s="63">
        <f t="shared" si="174"/>
        <v>7238.93</v>
      </c>
      <c r="M315" s="63">
        <f t="shared" si="174"/>
        <v>9860</v>
      </c>
      <c r="N315" s="63">
        <f t="shared" si="174"/>
        <v>9199.2000000000007</v>
      </c>
      <c r="O315" s="63">
        <f t="shared" si="174"/>
        <v>9860</v>
      </c>
      <c r="P315" s="63">
        <f t="shared" si="174"/>
        <v>12211.380000000001</v>
      </c>
      <c r="Q315" s="63">
        <f t="shared" si="174"/>
        <v>15931.380000000001</v>
      </c>
      <c r="R315" s="63">
        <f t="shared" si="174"/>
        <v>12211.380000000001</v>
      </c>
      <c r="S315" s="63">
        <f t="shared" si="174"/>
        <v>13931.380000000001</v>
      </c>
      <c r="T315" s="7">
        <f t="shared" si="162"/>
        <v>167845.97999999998</v>
      </c>
      <c r="U315" s="8">
        <f t="shared" si="165"/>
        <v>0</v>
      </c>
      <c r="V315" s="8"/>
      <c r="W315" s="63"/>
      <c r="X315" s="63"/>
      <c r="Y315" s="63"/>
      <c r="Z315" s="63"/>
      <c r="AA315" s="8"/>
      <c r="AB315" s="63"/>
      <c r="AC315" s="63"/>
      <c r="AD315" s="63"/>
      <c r="AE315" s="63"/>
      <c r="AF315" s="63"/>
      <c r="AG315" s="10">
        <f>76685.29*1.03</f>
        <v>78985.848700000002</v>
      </c>
      <c r="AH315" s="61">
        <f t="shared" si="161"/>
        <v>-88860.131299999979</v>
      </c>
      <c r="AI315" s="8"/>
    </row>
    <row r="316" spans="2:35" ht="20.25" customHeight="1" x14ac:dyDescent="0.25">
      <c r="B316" s="64" t="s">
        <v>610</v>
      </c>
      <c r="C316" s="81" t="s">
        <v>611</v>
      </c>
      <c r="D316" s="64" t="s">
        <v>585</v>
      </c>
      <c r="E316" s="51">
        <f t="shared" si="157"/>
        <v>0</v>
      </c>
      <c r="F316" s="10">
        <f t="shared" si="170"/>
        <v>46336.2</v>
      </c>
      <c r="G316" s="10">
        <f t="shared" ref="G316:G327" si="175">SUM(H316:S316)</f>
        <v>46336.2</v>
      </c>
      <c r="H316" s="10">
        <v>18668.099999999999</v>
      </c>
      <c r="I316" s="10">
        <v>0</v>
      </c>
      <c r="J316" s="10">
        <v>18668.099999999999</v>
      </c>
      <c r="K316" s="10">
        <v>3000</v>
      </c>
      <c r="L316" s="10">
        <v>0</v>
      </c>
      <c r="M316" s="10">
        <v>0</v>
      </c>
      <c r="N316" s="10">
        <v>3000</v>
      </c>
      <c r="O316" s="10"/>
      <c r="P316" s="10">
        <v>1000</v>
      </c>
      <c r="Q316" s="10">
        <v>1000</v>
      </c>
      <c r="R316" s="10">
        <v>1000</v>
      </c>
      <c r="S316" s="10">
        <v>0</v>
      </c>
      <c r="T316" s="7">
        <f t="shared" si="162"/>
        <v>46336.2</v>
      </c>
      <c r="U316" s="8">
        <f t="shared" si="165"/>
        <v>0</v>
      </c>
      <c r="V316" s="8"/>
      <c r="Z316" s="10"/>
      <c r="AA316" s="8"/>
      <c r="AH316" s="61">
        <f t="shared" si="161"/>
        <v>-46336.2</v>
      </c>
      <c r="AI316" s="8">
        <f>+G316</f>
        <v>46336.2</v>
      </c>
    </row>
    <row r="317" spans="2:35" ht="20.25" customHeight="1" x14ac:dyDescent="0.25">
      <c r="B317" s="64" t="s">
        <v>612</v>
      </c>
      <c r="C317" s="81" t="s">
        <v>613</v>
      </c>
      <c r="D317" s="64" t="s">
        <v>585</v>
      </c>
      <c r="E317" s="51">
        <f t="shared" si="157"/>
        <v>0</v>
      </c>
      <c r="F317" s="10">
        <f t="shared" si="170"/>
        <v>2000</v>
      </c>
      <c r="G317" s="10">
        <f t="shared" ref="G317" si="176">SUM(H317:S317)</f>
        <v>2000</v>
      </c>
      <c r="H317" s="10">
        <v>1000</v>
      </c>
      <c r="I317" s="10">
        <v>0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  <c r="O317" s="10"/>
      <c r="P317" s="10">
        <v>0</v>
      </c>
      <c r="Q317" s="10">
        <v>1000</v>
      </c>
      <c r="R317" s="10">
        <v>0</v>
      </c>
      <c r="S317" s="10">
        <v>0</v>
      </c>
      <c r="T317" s="7">
        <f t="shared" ref="T317" si="177">SUM(H317:S317)</f>
        <v>2000</v>
      </c>
      <c r="U317" s="8">
        <f t="shared" si="165"/>
        <v>0</v>
      </c>
      <c r="V317" s="8"/>
      <c r="Z317" s="10"/>
      <c r="AA317" s="8"/>
      <c r="AH317" s="61">
        <f t="shared" si="161"/>
        <v>-2000</v>
      </c>
      <c r="AI317" s="8">
        <f>+G317</f>
        <v>2000</v>
      </c>
    </row>
    <row r="318" spans="2:35" ht="11.25" customHeight="1" x14ac:dyDescent="0.25">
      <c r="B318" s="64" t="s">
        <v>614</v>
      </c>
      <c r="C318" s="64" t="s">
        <v>615</v>
      </c>
      <c r="D318" s="64" t="s">
        <v>585</v>
      </c>
      <c r="E318" s="51">
        <f t="shared" si="157"/>
        <v>0</v>
      </c>
      <c r="F318" s="10">
        <f t="shared" si="170"/>
        <v>0</v>
      </c>
      <c r="G318" s="10">
        <f t="shared" si="175"/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/>
      <c r="O318" s="10"/>
      <c r="P318" s="10">
        <v>0</v>
      </c>
      <c r="Q318" s="10">
        <v>0</v>
      </c>
      <c r="R318" s="10">
        <v>0</v>
      </c>
      <c r="S318" s="10">
        <v>0</v>
      </c>
      <c r="T318" s="7">
        <f t="shared" si="162"/>
        <v>0</v>
      </c>
      <c r="U318" s="8">
        <f t="shared" si="165"/>
        <v>0</v>
      </c>
      <c r="V318" s="8"/>
      <c r="Z318" s="10"/>
      <c r="AA318" s="8"/>
      <c r="AI318" s="8"/>
    </row>
    <row r="319" spans="2:35" ht="11.25" customHeight="1" x14ac:dyDescent="0.25">
      <c r="B319" s="64" t="s">
        <v>616</v>
      </c>
      <c r="C319" s="64" t="s">
        <v>617</v>
      </c>
      <c r="D319" s="64" t="s">
        <v>585</v>
      </c>
      <c r="E319" s="51">
        <f t="shared" si="157"/>
        <v>0</v>
      </c>
      <c r="F319" s="10">
        <f t="shared" si="170"/>
        <v>0</v>
      </c>
      <c r="G319" s="10">
        <f t="shared" si="175"/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/>
      <c r="O319" s="10"/>
      <c r="P319" s="10">
        <v>0</v>
      </c>
      <c r="Q319" s="10">
        <v>0</v>
      </c>
      <c r="R319" s="10">
        <v>0</v>
      </c>
      <c r="S319" s="10">
        <v>0</v>
      </c>
      <c r="T319" s="7">
        <f t="shared" si="162"/>
        <v>0</v>
      </c>
      <c r="U319" s="8">
        <f t="shared" si="165"/>
        <v>0</v>
      </c>
      <c r="V319" s="8"/>
      <c r="Z319" s="10"/>
      <c r="AA319" s="8"/>
      <c r="AI319" s="8"/>
    </row>
    <row r="320" spans="2:35" ht="11.25" customHeight="1" x14ac:dyDescent="0.25">
      <c r="B320" s="64" t="s">
        <v>618</v>
      </c>
      <c r="C320" s="64" t="s">
        <v>619</v>
      </c>
      <c r="D320" s="64" t="s">
        <v>585</v>
      </c>
      <c r="E320" s="51">
        <f t="shared" si="157"/>
        <v>0</v>
      </c>
      <c r="F320" s="10">
        <f t="shared" si="170"/>
        <v>0</v>
      </c>
      <c r="G320" s="10">
        <f t="shared" si="175"/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0"/>
      <c r="O320" s="10"/>
      <c r="P320" s="10">
        <v>0</v>
      </c>
      <c r="Q320" s="10">
        <v>0</v>
      </c>
      <c r="R320" s="10">
        <v>0</v>
      </c>
      <c r="S320" s="10">
        <v>0</v>
      </c>
      <c r="T320" s="7">
        <f t="shared" si="162"/>
        <v>0</v>
      </c>
      <c r="U320" s="8">
        <f t="shared" si="165"/>
        <v>0</v>
      </c>
      <c r="V320" s="8"/>
      <c r="Z320" s="10"/>
      <c r="AA320" s="8"/>
      <c r="AH320" s="61">
        <f t="shared" si="161"/>
        <v>0</v>
      </c>
      <c r="AI320" s="8">
        <f>+G320</f>
        <v>0</v>
      </c>
    </row>
    <row r="321" spans="2:35" ht="11.25" customHeight="1" x14ac:dyDescent="0.25">
      <c r="B321" s="64" t="s">
        <v>620</v>
      </c>
      <c r="C321" s="64" t="s">
        <v>621</v>
      </c>
      <c r="D321" s="64" t="s">
        <v>585</v>
      </c>
      <c r="E321" s="51">
        <f t="shared" si="157"/>
        <v>0</v>
      </c>
      <c r="F321" s="10">
        <f t="shared" si="170"/>
        <v>92.77</v>
      </c>
      <c r="G321" s="10">
        <f t="shared" si="175"/>
        <v>92.77</v>
      </c>
      <c r="H321" s="10">
        <v>92.77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/>
      <c r="O321" s="10"/>
      <c r="P321" s="10">
        <v>0</v>
      </c>
      <c r="Q321" s="10">
        <v>0</v>
      </c>
      <c r="R321" s="10">
        <v>0</v>
      </c>
      <c r="S321" s="10">
        <v>0</v>
      </c>
      <c r="T321" s="7">
        <f t="shared" si="162"/>
        <v>92.77</v>
      </c>
      <c r="U321" s="8">
        <f t="shared" si="165"/>
        <v>0</v>
      </c>
      <c r="V321" s="8"/>
      <c r="Z321" s="10"/>
      <c r="AA321" s="8"/>
      <c r="AH321" s="61">
        <f t="shared" si="161"/>
        <v>-92.77</v>
      </c>
      <c r="AI321" s="8">
        <f>+G321</f>
        <v>92.77</v>
      </c>
    </row>
    <row r="322" spans="2:35" ht="11.25" customHeight="1" x14ac:dyDescent="0.25">
      <c r="B322" s="64" t="s">
        <v>622</v>
      </c>
      <c r="C322" s="64" t="s">
        <v>623</v>
      </c>
      <c r="D322" s="64" t="s">
        <v>585</v>
      </c>
      <c r="E322" s="51">
        <f t="shared" si="157"/>
        <v>0</v>
      </c>
      <c r="F322" s="10">
        <f t="shared" si="170"/>
        <v>0</v>
      </c>
      <c r="G322" s="10">
        <f t="shared" si="175"/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/>
      <c r="O322" s="10"/>
      <c r="P322" s="10">
        <v>0</v>
      </c>
      <c r="Q322" s="10">
        <v>0</v>
      </c>
      <c r="R322" s="10">
        <v>0</v>
      </c>
      <c r="S322" s="10">
        <v>0</v>
      </c>
      <c r="T322" s="7">
        <f t="shared" si="162"/>
        <v>0</v>
      </c>
      <c r="U322" s="8">
        <f t="shared" si="165"/>
        <v>0</v>
      </c>
      <c r="V322" s="8"/>
      <c r="Z322" s="10"/>
      <c r="AA322" s="8"/>
      <c r="AH322" s="61">
        <f t="shared" si="161"/>
        <v>0</v>
      </c>
      <c r="AI322" s="8">
        <f>+G322</f>
        <v>0</v>
      </c>
    </row>
    <row r="323" spans="2:35" ht="11.25" customHeight="1" x14ac:dyDescent="0.25">
      <c r="B323" s="64" t="s">
        <v>624</v>
      </c>
      <c r="C323" s="64" t="s">
        <v>625</v>
      </c>
      <c r="D323" s="64" t="s">
        <v>585</v>
      </c>
      <c r="E323" s="51">
        <f t="shared" si="157"/>
        <v>0</v>
      </c>
      <c r="F323" s="10">
        <f t="shared" si="170"/>
        <v>0</v>
      </c>
      <c r="G323" s="10">
        <f t="shared" si="175"/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/>
      <c r="O323" s="10"/>
      <c r="P323" s="10">
        <v>0</v>
      </c>
      <c r="Q323" s="10">
        <v>0</v>
      </c>
      <c r="R323" s="10">
        <v>0</v>
      </c>
      <c r="S323" s="10">
        <v>0</v>
      </c>
      <c r="T323" s="7">
        <f t="shared" si="162"/>
        <v>0</v>
      </c>
      <c r="U323" s="8">
        <f t="shared" si="165"/>
        <v>0</v>
      </c>
      <c r="V323" s="8"/>
      <c r="Z323" s="10"/>
      <c r="AA323" s="8"/>
      <c r="AH323" s="61">
        <f t="shared" si="161"/>
        <v>0</v>
      </c>
      <c r="AI323" s="8">
        <f>+G323</f>
        <v>0</v>
      </c>
    </row>
    <row r="324" spans="2:35" ht="18" customHeight="1" x14ac:dyDescent="0.25">
      <c r="B324" s="64" t="s">
        <v>626</v>
      </c>
      <c r="C324" s="73" t="s">
        <v>627</v>
      </c>
      <c r="D324" s="64" t="s">
        <v>585</v>
      </c>
      <c r="E324" s="51">
        <f t="shared" si="157"/>
        <v>0</v>
      </c>
      <c r="F324" s="10">
        <f t="shared" si="170"/>
        <v>102692</v>
      </c>
      <c r="G324" s="10">
        <f t="shared" si="175"/>
        <v>102692</v>
      </c>
      <c r="H324" s="10">
        <v>7322</v>
      </c>
      <c r="I324" s="10">
        <v>9860</v>
      </c>
      <c r="J324" s="10">
        <v>8670</v>
      </c>
      <c r="K324" s="10">
        <v>9860</v>
      </c>
      <c r="L324" s="10">
        <v>7140</v>
      </c>
      <c r="M324" s="10">
        <v>9860</v>
      </c>
      <c r="N324" s="10">
        <v>6120</v>
      </c>
      <c r="O324" s="10">
        <v>9860</v>
      </c>
      <c r="P324" s="10">
        <v>7140</v>
      </c>
      <c r="Q324" s="10">
        <v>9860</v>
      </c>
      <c r="R324" s="10">
        <v>7140</v>
      </c>
      <c r="S324" s="10">
        <v>9860</v>
      </c>
      <c r="T324" s="7">
        <f t="shared" si="162"/>
        <v>102692</v>
      </c>
      <c r="U324" s="8">
        <f t="shared" si="165"/>
        <v>0</v>
      </c>
      <c r="V324" s="8"/>
      <c r="Z324" s="10"/>
      <c r="AA324" s="8"/>
      <c r="AI324" s="8"/>
    </row>
    <row r="325" spans="2:35" ht="20.25" customHeight="1" x14ac:dyDescent="0.25">
      <c r="B325" s="64" t="s">
        <v>628</v>
      </c>
      <c r="C325" s="64" t="s">
        <v>629</v>
      </c>
      <c r="D325" s="64" t="s">
        <v>585</v>
      </c>
      <c r="E325" s="51">
        <f t="shared" si="157"/>
        <v>0</v>
      </c>
      <c r="F325" s="10">
        <f t="shared" si="170"/>
        <v>16285.52</v>
      </c>
      <c r="G325" s="10">
        <f t="shared" ref="G325" si="178">SUM(H325:S325)</f>
        <v>16285.52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0</v>
      </c>
      <c r="N325" s="10"/>
      <c r="O325" s="10"/>
      <c r="P325" s="10">
        <v>4071.38</v>
      </c>
      <c r="Q325" s="10">
        <v>4071.38</v>
      </c>
      <c r="R325" s="10">
        <v>4071.38</v>
      </c>
      <c r="S325" s="10">
        <v>4071.38</v>
      </c>
      <c r="T325" s="7">
        <f t="shared" si="162"/>
        <v>16285.52</v>
      </c>
      <c r="U325" s="8">
        <f t="shared" si="165"/>
        <v>0</v>
      </c>
      <c r="V325" s="8"/>
      <c r="Z325" s="10"/>
      <c r="AA325" s="8"/>
      <c r="AI325" s="8"/>
    </row>
    <row r="326" spans="2:35" ht="11.25" customHeight="1" x14ac:dyDescent="0.25">
      <c r="B326" s="64" t="s">
        <v>630</v>
      </c>
      <c r="C326" s="64" t="s">
        <v>631</v>
      </c>
      <c r="D326" s="64" t="s">
        <v>585</v>
      </c>
      <c r="E326" s="51">
        <f t="shared" si="157"/>
        <v>0</v>
      </c>
      <c r="F326" s="10">
        <f t="shared" si="170"/>
        <v>102.96</v>
      </c>
      <c r="G326" s="10">
        <f t="shared" si="175"/>
        <v>102.96</v>
      </c>
      <c r="H326" s="10">
        <v>0</v>
      </c>
      <c r="I326" s="10">
        <v>0</v>
      </c>
      <c r="J326" s="10">
        <v>102.96</v>
      </c>
      <c r="K326" s="10">
        <v>0</v>
      </c>
      <c r="L326" s="10">
        <v>0</v>
      </c>
      <c r="M326" s="10">
        <v>0</v>
      </c>
      <c r="N326" s="10"/>
      <c r="O326" s="10"/>
      <c r="P326" s="10">
        <v>0</v>
      </c>
      <c r="Q326" s="10">
        <v>0</v>
      </c>
      <c r="R326" s="10">
        <v>0</v>
      </c>
      <c r="S326" s="10">
        <v>0</v>
      </c>
      <c r="T326" s="7">
        <f t="shared" si="162"/>
        <v>102.96</v>
      </c>
      <c r="U326" s="8">
        <f t="shared" si="165"/>
        <v>0</v>
      </c>
      <c r="V326" s="8"/>
      <c r="Z326" s="10"/>
      <c r="AA326" s="8"/>
      <c r="AI326" s="8"/>
    </row>
    <row r="327" spans="2:35" ht="11.25" customHeight="1" x14ac:dyDescent="0.25">
      <c r="B327" s="64" t="s">
        <v>632</v>
      </c>
      <c r="C327" s="64" t="s">
        <v>633</v>
      </c>
      <c r="D327" s="64" t="s">
        <v>585</v>
      </c>
      <c r="E327" s="51">
        <f t="shared" si="157"/>
        <v>0</v>
      </c>
      <c r="F327" s="10">
        <f t="shared" si="170"/>
        <v>336.53000000000003</v>
      </c>
      <c r="G327" s="10">
        <f t="shared" si="175"/>
        <v>336.53000000000003</v>
      </c>
      <c r="H327" s="10">
        <v>0</v>
      </c>
      <c r="I327" s="10">
        <v>0</v>
      </c>
      <c r="J327" s="10">
        <v>79.2</v>
      </c>
      <c r="K327" s="10">
        <v>79.2</v>
      </c>
      <c r="L327" s="10">
        <v>98.93</v>
      </c>
      <c r="M327" s="10">
        <v>0</v>
      </c>
      <c r="N327" s="10">
        <v>79.2</v>
      </c>
      <c r="O327" s="10"/>
      <c r="P327" s="10">
        <v>0</v>
      </c>
      <c r="Q327" s="10">
        <v>0</v>
      </c>
      <c r="R327" s="10">
        <v>0</v>
      </c>
      <c r="S327" s="10">
        <v>0</v>
      </c>
      <c r="T327" s="7">
        <f t="shared" si="162"/>
        <v>336.53000000000003</v>
      </c>
      <c r="U327" s="8">
        <f t="shared" si="165"/>
        <v>0</v>
      </c>
      <c r="V327" s="8"/>
      <c r="Z327" s="10"/>
      <c r="AA327" s="8"/>
      <c r="AI327" s="8"/>
    </row>
    <row r="328" spans="2:35" ht="39.6" x14ac:dyDescent="0.25">
      <c r="B328" s="62" t="s">
        <v>634</v>
      </c>
      <c r="C328" s="71" t="s">
        <v>635</v>
      </c>
      <c r="D328" s="71"/>
      <c r="E328" s="51">
        <f t="shared" ref="E328:E329" si="179">SUM(H328:S328)-G328</f>
        <v>0</v>
      </c>
      <c r="F328" s="10"/>
      <c r="G328" s="63">
        <f t="shared" ref="G328:S328" si="180">+G329+G344+G360</f>
        <v>190657.31</v>
      </c>
      <c r="H328" s="63">
        <f t="shared" si="180"/>
        <v>102579.1</v>
      </c>
      <c r="I328" s="63">
        <f t="shared" si="180"/>
        <v>17243.030000000002</v>
      </c>
      <c r="J328" s="63">
        <f t="shared" si="180"/>
        <v>14571.960000000003</v>
      </c>
      <c r="K328" s="63">
        <f t="shared" si="180"/>
        <v>4313.5600000000004</v>
      </c>
      <c r="L328" s="63">
        <f t="shared" si="180"/>
        <v>7198.630000000001</v>
      </c>
      <c r="M328" s="63">
        <f t="shared" si="180"/>
        <v>7466.49</v>
      </c>
      <c r="N328" s="63">
        <f t="shared" si="180"/>
        <v>7255.2000000000007</v>
      </c>
      <c r="O328" s="63">
        <f t="shared" si="180"/>
        <v>9518</v>
      </c>
      <c r="P328" s="63">
        <f t="shared" si="180"/>
        <v>7570.66</v>
      </c>
      <c r="Q328" s="63">
        <f t="shared" si="180"/>
        <v>4313.5600000000004</v>
      </c>
      <c r="R328" s="63">
        <f t="shared" si="180"/>
        <v>4313.5600000000004</v>
      </c>
      <c r="S328" s="63">
        <f t="shared" si="180"/>
        <v>4313.5600000000004</v>
      </c>
      <c r="T328" s="7">
        <f t="shared" si="162"/>
        <v>190657.31</v>
      </c>
      <c r="U328" s="8">
        <f t="shared" si="165"/>
        <v>0</v>
      </c>
      <c r="V328" s="8"/>
      <c r="Z328" s="63"/>
      <c r="AA328" s="8"/>
      <c r="AH328" s="61">
        <f t="shared" ref="AH328:AH391" si="181">+AG328-G328</f>
        <v>-190657.31</v>
      </c>
      <c r="AI328" s="8"/>
    </row>
    <row r="329" spans="2:35" ht="9.75" customHeight="1" x14ac:dyDescent="0.25">
      <c r="B329" s="62" t="s">
        <v>636</v>
      </c>
      <c r="C329" s="62" t="s">
        <v>637</v>
      </c>
      <c r="D329" s="62"/>
      <c r="E329" s="51">
        <f t="shared" si="179"/>
        <v>0</v>
      </c>
      <c r="F329" s="10"/>
      <c r="G329" s="63">
        <f>SUM(G330:G343)</f>
        <v>109279.28</v>
      </c>
      <c r="H329" s="63">
        <f t="shared" ref="H329:S329" si="182">SUM(H330:H343)</f>
        <v>76116.179999999993</v>
      </c>
      <c r="I329" s="63">
        <f t="shared" si="182"/>
        <v>10667.960000000001</v>
      </c>
      <c r="J329" s="63">
        <f t="shared" si="182"/>
        <v>10258.400000000001</v>
      </c>
      <c r="K329" s="63">
        <f t="shared" si="182"/>
        <v>0</v>
      </c>
      <c r="L329" s="63">
        <f t="shared" si="182"/>
        <v>2885.07</v>
      </c>
      <c r="M329" s="63">
        <f t="shared" si="182"/>
        <v>3152.93</v>
      </c>
      <c r="N329" s="63">
        <f t="shared" si="182"/>
        <v>2941.6400000000003</v>
      </c>
      <c r="O329" s="63">
        <f t="shared" si="182"/>
        <v>0</v>
      </c>
      <c r="P329" s="63">
        <f t="shared" si="182"/>
        <v>3257.1</v>
      </c>
      <c r="Q329" s="63">
        <f t="shared" si="182"/>
        <v>0</v>
      </c>
      <c r="R329" s="63">
        <f t="shared" si="182"/>
        <v>0</v>
      </c>
      <c r="S329" s="63">
        <f t="shared" si="182"/>
        <v>0</v>
      </c>
      <c r="T329" s="7">
        <f t="shared" si="162"/>
        <v>109279.28000000001</v>
      </c>
      <c r="U329" s="8">
        <f t="shared" si="165"/>
        <v>0</v>
      </c>
      <c r="V329" s="8"/>
      <c r="Z329" s="63"/>
      <c r="AA329" s="8"/>
      <c r="AH329" s="61">
        <f t="shared" si="181"/>
        <v>-109279.28</v>
      </c>
      <c r="AI329" s="8"/>
    </row>
    <row r="330" spans="2:35" ht="20.25" customHeight="1" x14ac:dyDescent="0.25">
      <c r="B330" s="64" t="s">
        <v>638</v>
      </c>
      <c r="C330" s="73" t="s">
        <v>639</v>
      </c>
      <c r="D330" s="64" t="s">
        <v>30</v>
      </c>
      <c r="E330" s="51">
        <f t="shared" si="157"/>
        <v>0</v>
      </c>
      <c r="F330" s="10">
        <f t="shared" si="170"/>
        <v>0</v>
      </c>
      <c r="G330" s="10">
        <f>SUM(H330:S330)</f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7">
        <f t="shared" si="162"/>
        <v>0</v>
      </c>
      <c r="U330" s="8">
        <f t="shared" si="165"/>
        <v>0</v>
      </c>
      <c r="V330" s="8"/>
      <c r="Z330" s="10">
        <v>12374.17</v>
      </c>
      <c r="AA330" s="8">
        <f t="shared" si="160"/>
        <v>12374.17</v>
      </c>
      <c r="AG330" s="10">
        <f>12013.76*1.03</f>
        <v>12374.1728</v>
      </c>
      <c r="AH330" s="61">
        <f t="shared" si="181"/>
        <v>12374.1728</v>
      </c>
      <c r="AI330" s="8">
        <f>+G330</f>
        <v>0</v>
      </c>
    </row>
    <row r="331" spans="2:35" ht="20.25" customHeight="1" x14ac:dyDescent="0.25">
      <c r="B331" s="64" t="s">
        <v>640</v>
      </c>
      <c r="C331" s="73" t="s">
        <v>641</v>
      </c>
      <c r="D331" s="64" t="s">
        <v>30</v>
      </c>
      <c r="E331" s="51">
        <f t="shared" si="157"/>
        <v>0</v>
      </c>
      <c r="F331" s="10">
        <f t="shared" si="170"/>
        <v>0</v>
      </c>
      <c r="G331" s="10">
        <f>SUM(H331:S331)</f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7">
        <f t="shared" si="162"/>
        <v>0</v>
      </c>
      <c r="U331" s="8">
        <f t="shared" si="165"/>
        <v>0</v>
      </c>
      <c r="V331" s="8"/>
      <c r="Z331" s="10">
        <v>286.52999999999997</v>
      </c>
      <c r="AA331" s="8">
        <f t="shared" si="160"/>
        <v>286.52999999999997</v>
      </c>
      <c r="AG331" s="10">
        <f>278.18*1.03</f>
        <v>286.52539999999999</v>
      </c>
      <c r="AH331" s="61">
        <f t="shared" si="181"/>
        <v>286.52539999999999</v>
      </c>
      <c r="AI331" s="8">
        <f>+G331</f>
        <v>0</v>
      </c>
    </row>
    <row r="332" spans="2:35" ht="19.8" x14ac:dyDescent="0.25">
      <c r="B332" s="64" t="s">
        <v>642</v>
      </c>
      <c r="C332" s="73" t="s">
        <v>643</v>
      </c>
      <c r="D332" s="64" t="s">
        <v>30</v>
      </c>
      <c r="E332" s="51">
        <f t="shared" ref="E332:E364" si="183">+F332-G332</f>
        <v>0</v>
      </c>
      <c r="F332" s="10">
        <f t="shared" si="170"/>
        <v>13874.779999999999</v>
      </c>
      <c r="G332" s="10">
        <f>SUM(H332:S332)</f>
        <v>13874.779999999999</v>
      </c>
      <c r="H332" s="10">
        <v>11441.15</v>
      </c>
      <c r="I332" s="10">
        <v>1622.42</v>
      </c>
      <c r="J332" s="10">
        <v>811.21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10">
        <v>0</v>
      </c>
      <c r="S332" s="10">
        <v>0</v>
      </c>
      <c r="T332" s="7">
        <f t="shared" si="162"/>
        <v>13874.779999999999</v>
      </c>
      <c r="U332" s="8">
        <f t="shared" si="165"/>
        <v>0</v>
      </c>
      <c r="V332" s="8"/>
      <c r="Z332" s="10"/>
      <c r="AA332" s="8"/>
      <c r="AG332" s="10">
        <f>12578.67*1.03</f>
        <v>12956.0301</v>
      </c>
      <c r="AH332" s="61">
        <f t="shared" si="181"/>
        <v>-918.74989999999889</v>
      </c>
      <c r="AI332" s="8">
        <f>+G332</f>
        <v>13874.779999999999</v>
      </c>
    </row>
    <row r="333" spans="2:35" ht="19.8" x14ac:dyDescent="0.25">
      <c r="B333" s="64" t="s">
        <v>644</v>
      </c>
      <c r="C333" s="73" t="s">
        <v>645</v>
      </c>
      <c r="D333" s="64" t="s">
        <v>30</v>
      </c>
      <c r="E333" s="51">
        <f t="shared" si="183"/>
        <v>0</v>
      </c>
      <c r="F333" s="10">
        <f t="shared" si="170"/>
        <v>0</v>
      </c>
      <c r="G333" s="10">
        <f t="shared" ref="G333:G343" si="184">SUM(H333:S333)</f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10">
        <v>0</v>
      </c>
      <c r="S333" s="10">
        <v>0</v>
      </c>
      <c r="T333" s="7">
        <f t="shared" si="162"/>
        <v>0</v>
      </c>
      <c r="U333" s="8">
        <f t="shared" si="165"/>
        <v>0</v>
      </c>
      <c r="V333" s="8"/>
      <c r="Z333" s="10"/>
      <c r="AA333" s="8"/>
      <c r="AG333" s="10">
        <f>558.18*1.03</f>
        <v>574.92539999999997</v>
      </c>
      <c r="AH333" s="61">
        <f t="shared" si="181"/>
        <v>574.92539999999997</v>
      </c>
      <c r="AI333" s="8">
        <f>+G333</f>
        <v>0</v>
      </c>
    </row>
    <row r="334" spans="2:35" ht="25.5" customHeight="1" x14ac:dyDescent="0.25">
      <c r="B334" s="64" t="s">
        <v>646</v>
      </c>
      <c r="C334" s="73" t="s">
        <v>647</v>
      </c>
      <c r="D334" s="64"/>
      <c r="F334" s="10">
        <f t="shared" si="170"/>
        <v>3113.8</v>
      </c>
      <c r="G334" s="10">
        <f t="shared" si="184"/>
        <v>3113.8</v>
      </c>
      <c r="H334" s="10">
        <v>3113.8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/>
      <c r="O334" s="10"/>
      <c r="P334" s="10"/>
      <c r="Q334" s="10"/>
      <c r="R334" s="10"/>
      <c r="S334" s="10"/>
      <c r="T334" s="7">
        <f t="shared" si="162"/>
        <v>3113.8</v>
      </c>
      <c r="U334" s="8">
        <f t="shared" si="165"/>
        <v>0</v>
      </c>
      <c r="V334" s="8"/>
      <c r="Z334" s="10"/>
      <c r="AA334" s="8"/>
      <c r="AI334" s="8"/>
    </row>
    <row r="335" spans="2:35" ht="24.75" customHeight="1" x14ac:dyDescent="0.25">
      <c r="B335" s="64" t="s">
        <v>648</v>
      </c>
      <c r="C335" s="73" t="s">
        <v>649</v>
      </c>
      <c r="D335" s="64" t="s">
        <v>30</v>
      </c>
      <c r="E335" s="51">
        <f t="shared" si="183"/>
        <v>0</v>
      </c>
      <c r="F335" s="10">
        <f t="shared" si="170"/>
        <v>0</v>
      </c>
      <c r="G335" s="10">
        <f t="shared" si="184"/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7">
        <f t="shared" si="162"/>
        <v>0</v>
      </c>
      <c r="U335" s="8">
        <f t="shared" si="165"/>
        <v>0</v>
      </c>
      <c r="V335" s="8"/>
      <c r="Z335" s="10"/>
      <c r="AA335" s="8"/>
      <c r="AI335" s="8"/>
    </row>
    <row r="336" spans="2:35" ht="24.75" customHeight="1" x14ac:dyDescent="0.25">
      <c r="B336" s="64" t="s">
        <v>650</v>
      </c>
      <c r="C336" s="73" t="s">
        <v>651</v>
      </c>
      <c r="D336" s="64"/>
      <c r="F336" s="10">
        <f t="shared" si="170"/>
        <v>6754.46</v>
      </c>
      <c r="G336" s="10">
        <f t="shared" si="184"/>
        <v>6754.46</v>
      </c>
      <c r="H336" s="10">
        <v>6754.46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7"/>
      <c r="U336" s="8"/>
      <c r="V336" s="8"/>
      <c r="Z336" s="10"/>
      <c r="AA336" s="8"/>
      <c r="AI336" s="8"/>
    </row>
    <row r="337" spans="2:35" ht="24.75" customHeight="1" x14ac:dyDescent="0.25">
      <c r="B337" s="64" t="s">
        <v>652</v>
      </c>
      <c r="C337" s="73" t="s">
        <v>653</v>
      </c>
      <c r="D337" s="64"/>
      <c r="F337" s="10">
        <f t="shared" si="170"/>
        <v>13508.92</v>
      </c>
      <c r="G337" s="10">
        <f t="shared" si="184"/>
        <v>13508.92</v>
      </c>
      <c r="H337" s="10">
        <v>13508.92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7"/>
      <c r="U337" s="8"/>
      <c r="V337" s="8"/>
      <c r="Z337" s="10"/>
      <c r="AA337" s="8"/>
      <c r="AI337" s="8"/>
    </row>
    <row r="338" spans="2:35" ht="10.199999999999999" x14ac:dyDescent="0.25">
      <c r="B338" s="64" t="s">
        <v>654</v>
      </c>
      <c r="C338" s="73" t="s">
        <v>655</v>
      </c>
      <c r="D338" s="64"/>
      <c r="F338" s="10">
        <f t="shared" si="170"/>
        <v>3784.53</v>
      </c>
      <c r="G338" s="10">
        <f t="shared" ref="G338" si="185">SUM(H338:S338)</f>
        <v>3784.53</v>
      </c>
      <c r="H338" s="10">
        <v>0</v>
      </c>
      <c r="I338" s="10">
        <v>3784.53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7"/>
      <c r="U338" s="8"/>
      <c r="V338" s="8"/>
      <c r="Z338" s="10"/>
      <c r="AA338" s="8"/>
      <c r="AI338" s="8"/>
    </row>
    <row r="339" spans="2:35" ht="9.75" customHeight="1" x14ac:dyDescent="0.25">
      <c r="B339" s="64" t="s">
        <v>656</v>
      </c>
      <c r="C339" s="64" t="s">
        <v>657</v>
      </c>
      <c r="D339" s="64" t="s">
        <v>30</v>
      </c>
      <c r="E339" s="51">
        <f t="shared" si="183"/>
        <v>0</v>
      </c>
      <c r="F339" s="10">
        <f t="shared" si="170"/>
        <v>0</v>
      </c>
      <c r="G339" s="10">
        <f t="shared" si="184"/>
        <v>0</v>
      </c>
      <c r="H339" s="10"/>
      <c r="I339" s="10"/>
      <c r="J339" s="10"/>
      <c r="K339" s="10"/>
      <c r="L339" s="10"/>
      <c r="M339" s="10"/>
      <c r="N339" s="10"/>
      <c r="O339" s="10"/>
      <c r="P339" s="10"/>
      <c r="Q339" s="10">
        <v>0</v>
      </c>
      <c r="R339" s="10">
        <v>0</v>
      </c>
      <c r="S339" s="10">
        <v>0</v>
      </c>
      <c r="T339" s="7">
        <f t="shared" si="162"/>
        <v>0</v>
      </c>
      <c r="U339" s="8">
        <f t="shared" si="165"/>
        <v>0</v>
      </c>
      <c r="V339" s="8"/>
      <c r="Z339" s="10">
        <v>1479.41</v>
      </c>
      <c r="AA339" s="8">
        <f t="shared" si="160"/>
        <v>1479.41</v>
      </c>
      <c r="AG339" s="10">
        <f>1436.32*1.03</f>
        <v>1479.4096</v>
      </c>
      <c r="AH339" s="61">
        <f t="shared" si="181"/>
        <v>1479.4096</v>
      </c>
      <c r="AI339" s="8">
        <f>+G339</f>
        <v>0</v>
      </c>
    </row>
    <row r="340" spans="2:35" ht="9.75" customHeight="1" x14ac:dyDescent="0.25">
      <c r="B340" s="64" t="s">
        <v>658</v>
      </c>
      <c r="C340" s="64" t="s">
        <v>659</v>
      </c>
      <c r="D340" s="64" t="s">
        <v>30</v>
      </c>
      <c r="E340" s="51">
        <f t="shared" si="183"/>
        <v>0</v>
      </c>
      <c r="F340" s="10">
        <f t="shared" si="170"/>
        <v>52170.470000000008</v>
      </c>
      <c r="G340" s="10">
        <f t="shared" si="184"/>
        <v>52170.470000000008</v>
      </c>
      <c r="H340" s="10">
        <v>30429.97</v>
      </c>
      <c r="I340" s="10">
        <v>3959.9</v>
      </c>
      <c r="J340" s="10">
        <v>6844.97</v>
      </c>
      <c r="K340" s="10">
        <v>0</v>
      </c>
      <c r="L340" s="10">
        <v>2262.8000000000002</v>
      </c>
      <c r="M340" s="10">
        <v>3152.93</v>
      </c>
      <c r="N340" s="10">
        <f>1131.4+1131.4</f>
        <v>2262.8000000000002</v>
      </c>
      <c r="O340" s="10">
        <v>0</v>
      </c>
      <c r="P340" s="10">
        <v>3257.1</v>
      </c>
      <c r="Q340" s="10">
        <v>0</v>
      </c>
      <c r="R340" s="10">
        <v>0</v>
      </c>
      <c r="S340" s="10">
        <v>0</v>
      </c>
      <c r="T340" s="7">
        <f t="shared" si="162"/>
        <v>52170.470000000008</v>
      </c>
      <c r="U340" s="8">
        <f t="shared" si="165"/>
        <v>0</v>
      </c>
      <c r="V340" s="8"/>
      <c r="Z340" s="10"/>
      <c r="AA340" s="8"/>
      <c r="AI340" s="8"/>
    </row>
    <row r="341" spans="2:35" ht="9.75" customHeight="1" x14ac:dyDescent="0.25">
      <c r="B341" s="64" t="s">
        <v>660</v>
      </c>
      <c r="C341" s="64" t="s">
        <v>661</v>
      </c>
      <c r="D341" s="64" t="s">
        <v>30</v>
      </c>
      <c r="E341" s="51">
        <f t="shared" si="183"/>
        <v>0</v>
      </c>
      <c r="F341" s="10">
        <f t="shared" si="170"/>
        <v>6235.32</v>
      </c>
      <c r="G341" s="10">
        <f t="shared" si="184"/>
        <v>6235.32</v>
      </c>
      <c r="H341" s="10">
        <v>2388.56</v>
      </c>
      <c r="I341" s="10">
        <v>622.27</v>
      </c>
      <c r="J341" s="10">
        <v>1923.38</v>
      </c>
      <c r="K341" s="10">
        <v>0</v>
      </c>
      <c r="L341" s="10">
        <v>622.27</v>
      </c>
      <c r="M341" s="10">
        <v>0</v>
      </c>
      <c r="N341" s="10">
        <v>678.84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7">
        <f t="shared" si="162"/>
        <v>6235.32</v>
      </c>
      <c r="U341" s="8">
        <f t="shared" si="165"/>
        <v>0</v>
      </c>
      <c r="V341" s="8"/>
      <c r="Z341" s="10"/>
      <c r="AA341" s="8"/>
      <c r="AI341" s="8"/>
    </row>
    <row r="342" spans="2:35" ht="9.75" customHeight="1" x14ac:dyDescent="0.25">
      <c r="B342" s="64" t="s">
        <v>662</v>
      </c>
      <c r="C342" s="64" t="s">
        <v>663</v>
      </c>
      <c r="D342" s="64" t="s">
        <v>30</v>
      </c>
      <c r="E342" s="51">
        <f t="shared" si="183"/>
        <v>0</v>
      </c>
      <c r="F342" s="10">
        <f t="shared" si="170"/>
        <v>9837</v>
      </c>
      <c r="G342" s="10">
        <f t="shared" si="184"/>
        <v>9837</v>
      </c>
      <c r="H342" s="10">
        <v>8479.32</v>
      </c>
      <c r="I342" s="10">
        <v>678.84</v>
      </c>
      <c r="J342" s="10">
        <v>678.84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7">
        <f t="shared" si="162"/>
        <v>9837</v>
      </c>
      <c r="U342" s="8">
        <f t="shared" si="165"/>
        <v>0</v>
      </c>
      <c r="V342" s="8"/>
      <c r="Z342" s="10"/>
      <c r="AA342" s="8"/>
      <c r="AI342" s="8"/>
    </row>
    <row r="343" spans="2:35" ht="9.75" customHeight="1" x14ac:dyDescent="0.25">
      <c r="B343" s="64" t="s">
        <v>664</v>
      </c>
      <c r="C343" s="64" t="s">
        <v>665</v>
      </c>
      <c r="D343" s="64" t="s">
        <v>30</v>
      </c>
      <c r="E343" s="51">
        <f t="shared" si="183"/>
        <v>0</v>
      </c>
      <c r="F343" s="10">
        <f t="shared" si="170"/>
        <v>0</v>
      </c>
      <c r="G343" s="10">
        <f t="shared" si="184"/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7">
        <f t="shared" si="162"/>
        <v>0</v>
      </c>
      <c r="U343" s="8">
        <f t="shared" si="165"/>
        <v>0</v>
      </c>
      <c r="V343" s="8"/>
      <c r="Z343" s="10"/>
      <c r="AA343" s="8"/>
      <c r="AI343" s="8"/>
    </row>
    <row r="344" spans="2:35" ht="9.75" customHeight="1" x14ac:dyDescent="0.25">
      <c r="B344" s="62" t="s">
        <v>666</v>
      </c>
      <c r="C344" s="62" t="s">
        <v>667</v>
      </c>
      <c r="D344" s="62"/>
      <c r="E344" s="51">
        <f t="shared" ref="E344" si="186">SUM(H344:S344)-G344</f>
        <v>0</v>
      </c>
      <c r="F344" s="10"/>
      <c r="G344" s="63">
        <f>SUM(G345:G359)</f>
        <v>81378.03</v>
      </c>
      <c r="H344" s="63">
        <f t="shared" ref="H344:S344" si="187">SUM(H345:H359)</f>
        <v>26462.920000000006</v>
      </c>
      <c r="I344" s="63">
        <f t="shared" si="187"/>
        <v>6575.0700000000006</v>
      </c>
      <c r="J344" s="63">
        <f t="shared" si="187"/>
        <v>4313.5600000000004</v>
      </c>
      <c r="K344" s="63">
        <f t="shared" si="187"/>
        <v>4313.5600000000004</v>
      </c>
      <c r="L344" s="63">
        <f t="shared" si="187"/>
        <v>4313.5600000000004</v>
      </c>
      <c r="M344" s="63">
        <f t="shared" si="187"/>
        <v>4313.5600000000004</v>
      </c>
      <c r="N344" s="63">
        <f t="shared" si="187"/>
        <v>4313.5600000000004</v>
      </c>
      <c r="O344" s="63">
        <f t="shared" si="187"/>
        <v>9518</v>
      </c>
      <c r="P344" s="63">
        <f t="shared" si="187"/>
        <v>4313.5600000000004</v>
      </c>
      <c r="Q344" s="63">
        <f t="shared" si="187"/>
        <v>4313.5600000000004</v>
      </c>
      <c r="R344" s="63">
        <f t="shared" si="187"/>
        <v>4313.5600000000004</v>
      </c>
      <c r="S344" s="63">
        <f t="shared" si="187"/>
        <v>4313.5600000000004</v>
      </c>
      <c r="T344" s="7">
        <f t="shared" ref="T344:T420" si="188">SUM(H344:S344)</f>
        <v>81378.029999999984</v>
      </c>
      <c r="U344" s="8">
        <f t="shared" si="165"/>
        <v>0</v>
      </c>
      <c r="V344" s="8"/>
      <c r="Z344" s="63"/>
      <c r="AA344" s="8"/>
      <c r="AH344" s="61">
        <f t="shared" si="181"/>
        <v>-81378.03</v>
      </c>
      <c r="AI344" s="8"/>
    </row>
    <row r="345" spans="2:35" ht="9.75" customHeight="1" x14ac:dyDescent="0.25">
      <c r="B345" s="64" t="s">
        <v>668</v>
      </c>
      <c r="C345" s="64" t="s">
        <v>669</v>
      </c>
      <c r="D345" s="64" t="s">
        <v>30</v>
      </c>
      <c r="E345" s="51">
        <f t="shared" si="183"/>
        <v>0</v>
      </c>
      <c r="F345" s="10">
        <f t="shared" si="170"/>
        <v>0</v>
      </c>
      <c r="G345" s="10">
        <f>SUM(H345:S345)</f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0</v>
      </c>
      <c r="R345" s="10">
        <v>0</v>
      </c>
      <c r="S345" s="10">
        <v>0</v>
      </c>
      <c r="T345" s="7">
        <f t="shared" si="188"/>
        <v>0</v>
      </c>
      <c r="U345" s="8">
        <f t="shared" si="165"/>
        <v>0</v>
      </c>
      <c r="V345" s="8"/>
      <c r="Z345" s="10">
        <v>12979.57</v>
      </c>
      <c r="AA345" s="8">
        <f t="shared" si="160"/>
        <v>12979.57</v>
      </c>
      <c r="AG345" s="10">
        <f>12601.52*1.03</f>
        <v>12979.5656</v>
      </c>
      <c r="AH345" s="61">
        <f t="shared" si="181"/>
        <v>12979.5656</v>
      </c>
      <c r="AI345" s="8">
        <f>+G345</f>
        <v>0</v>
      </c>
    </row>
    <row r="346" spans="2:35" ht="9.75" customHeight="1" x14ac:dyDescent="0.25">
      <c r="B346" s="64" t="s">
        <v>670</v>
      </c>
      <c r="C346" s="64" t="s">
        <v>671</v>
      </c>
      <c r="D346" s="64" t="s">
        <v>30</v>
      </c>
      <c r="E346" s="51">
        <f t="shared" si="183"/>
        <v>0</v>
      </c>
      <c r="F346" s="10">
        <f t="shared" si="170"/>
        <v>0</v>
      </c>
      <c r="G346" s="10">
        <f t="shared" ref="G346:G359" si="189">SUM(H346:S346)</f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7">
        <f t="shared" si="188"/>
        <v>0</v>
      </c>
      <c r="U346" s="8">
        <f t="shared" si="165"/>
        <v>0</v>
      </c>
      <c r="V346" s="8"/>
      <c r="Z346" s="10"/>
      <c r="AA346" s="8"/>
      <c r="AI346" s="8"/>
    </row>
    <row r="347" spans="2:35" ht="9.75" customHeight="1" x14ac:dyDescent="0.25">
      <c r="B347" s="64" t="s">
        <v>672</v>
      </c>
      <c r="C347" s="64" t="s">
        <v>673</v>
      </c>
      <c r="D347" s="64" t="s">
        <v>30</v>
      </c>
      <c r="E347" s="51">
        <f t="shared" si="183"/>
        <v>0</v>
      </c>
      <c r="F347" s="10">
        <f t="shared" si="170"/>
        <v>0</v>
      </c>
      <c r="G347" s="10">
        <f t="shared" si="189"/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10">
        <v>0</v>
      </c>
      <c r="S347" s="10">
        <v>0</v>
      </c>
      <c r="T347" s="7">
        <f t="shared" si="188"/>
        <v>0</v>
      </c>
      <c r="U347" s="8">
        <f t="shared" si="165"/>
        <v>0</v>
      </c>
      <c r="V347" s="8"/>
      <c r="Z347" s="10"/>
      <c r="AA347" s="8"/>
      <c r="AI347" s="8"/>
    </row>
    <row r="348" spans="2:35" ht="9.75" customHeight="1" x14ac:dyDescent="0.25">
      <c r="B348" s="64" t="s">
        <v>674</v>
      </c>
      <c r="C348" s="64" t="s">
        <v>675</v>
      </c>
      <c r="D348" s="64" t="s">
        <v>30</v>
      </c>
      <c r="E348" s="51">
        <f t="shared" si="183"/>
        <v>0</v>
      </c>
      <c r="F348" s="10">
        <f t="shared" si="170"/>
        <v>0</v>
      </c>
      <c r="G348" s="10">
        <f t="shared" si="189"/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7">
        <f t="shared" si="188"/>
        <v>0</v>
      </c>
      <c r="U348" s="8">
        <f t="shared" si="165"/>
        <v>0</v>
      </c>
      <c r="V348" s="8"/>
      <c r="Z348" s="10"/>
      <c r="AA348" s="8"/>
      <c r="AH348" s="61">
        <f t="shared" si="181"/>
        <v>0</v>
      </c>
      <c r="AI348" s="8">
        <f>+G348</f>
        <v>0</v>
      </c>
    </row>
    <row r="349" spans="2:35" ht="9.75" customHeight="1" x14ac:dyDescent="0.25">
      <c r="B349" s="64" t="s">
        <v>676</v>
      </c>
      <c r="C349" s="64" t="s">
        <v>677</v>
      </c>
      <c r="D349" s="64"/>
      <c r="E349" s="51">
        <f t="shared" si="183"/>
        <v>0</v>
      </c>
      <c r="F349" s="10">
        <f>+G349</f>
        <v>9714.84</v>
      </c>
      <c r="G349" s="10">
        <f t="shared" si="189"/>
        <v>9714.84</v>
      </c>
      <c r="H349" s="10">
        <v>9714.84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0</v>
      </c>
      <c r="R349" s="10">
        <v>0</v>
      </c>
      <c r="S349" s="10">
        <v>0</v>
      </c>
      <c r="T349" s="7">
        <f t="shared" si="188"/>
        <v>9714.84</v>
      </c>
      <c r="U349" s="8">
        <f t="shared" si="165"/>
        <v>0</v>
      </c>
      <c r="V349" s="8"/>
      <c r="Z349" s="10"/>
      <c r="AA349" s="8"/>
      <c r="AI349" s="8"/>
    </row>
    <row r="350" spans="2:35" ht="19.8" x14ac:dyDescent="0.25">
      <c r="B350" s="64" t="s">
        <v>678</v>
      </c>
      <c r="C350" s="73" t="s">
        <v>679</v>
      </c>
      <c r="D350" s="64" t="s">
        <v>30</v>
      </c>
      <c r="E350" s="51">
        <f t="shared" si="183"/>
        <v>0</v>
      </c>
      <c r="F350" s="10">
        <f t="shared" si="170"/>
        <v>0</v>
      </c>
      <c r="G350" s="10">
        <f t="shared" si="189"/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7">
        <f t="shared" si="188"/>
        <v>0</v>
      </c>
      <c r="U350" s="8">
        <f t="shared" si="165"/>
        <v>0</v>
      </c>
      <c r="V350" s="8"/>
      <c r="Z350" s="10"/>
      <c r="AA350" s="8"/>
      <c r="AG350" s="10">
        <f>7100.31*1.03</f>
        <v>7313.319300000001</v>
      </c>
      <c r="AH350" s="61">
        <f t="shared" si="181"/>
        <v>7313.319300000001</v>
      </c>
      <c r="AI350" s="8">
        <f>+G350</f>
        <v>0</v>
      </c>
    </row>
    <row r="351" spans="2:35" ht="19.5" customHeight="1" x14ac:dyDescent="0.25">
      <c r="B351" s="64" t="s">
        <v>680</v>
      </c>
      <c r="C351" s="64" t="s">
        <v>681</v>
      </c>
      <c r="D351" s="64" t="s">
        <v>30</v>
      </c>
      <c r="E351" s="51">
        <f t="shared" si="183"/>
        <v>0</v>
      </c>
      <c r="F351" s="10">
        <f t="shared" si="170"/>
        <v>3713.1</v>
      </c>
      <c r="G351" s="10">
        <f t="shared" si="189"/>
        <v>3713.1</v>
      </c>
      <c r="H351" s="10">
        <v>3713.1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0</v>
      </c>
      <c r="R351" s="10">
        <v>0</v>
      </c>
      <c r="S351" s="10">
        <v>0</v>
      </c>
      <c r="T351" s="7">
        <f t="shared" si="188"/>
        <v>3713.1</v>
      </c>
      <c r="U351" s="8">
        <f t="shared" si="165"/>
        <v>0</v>
      </c>
      <c r="V351" s="8"/>
      <c r="Z351" s="10"/>
      <c r="AA351" s="8"/>
      <c r="AI351" s="8"/>
    </row>
    <row r="352" spans="2:35" ht="22.5" customHeight="1" x14ac:dyDescent="0.25">
      <c r="B352" s="67" t="s">
        <v>682</v>
      </c>
      <c r="C352" s="83" t="s">
        <v>683</v>
      </c>
      <c r="D352" s="64" t="s">
        <v>30</v>
      </c>
      <c r="E352" s="51">
        <f t="shared" si="183"/>
        <v>0</v>
      </c>
      <c r="F352" s="10">
        <f t="shared" si="170"/>
        <v>777.36</v>
      </c>
      <c r="G352" s="10">
        <f t="shared" si="189"/>
        <v>777.36</v>
      </c>
      <c r="H352" s="10">
        <v>777.36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7">
        <f t="shared" si="188"/>
        <v>777.36</v>
      </c>
      <c r="U352" s="8">
        <f t="shared" si="165"/>
        <v>0</v>
      </c>
      <c r="V352" s="8"/>
      <c r="Z352" s="10"/>
      <c r="AA352" s="8"/>
      <c r="AI352" s="8"/>
    </row>
    <row r="353" spans="2:35" ht="10.5" customHeight="1" x14ac:dyDescent="0.25">
      <c r="B353" s="67" t="s">
        <v>684</v>
      </c>
      <c r="C353" s="67" t="s">
        <v>685</v>
      </c>
      <c r="D353" s="64" t="s">
        <v>30</v>
      </c>
      <c r="E353" s="51">
        <f>+F353-G353</f>
        <v>0</v>
      </c>
      <c r="F353" s="10">
        <f t="shared" si="170"/>
        <v>2107.34</v>
      </c>
      <c r="G353" s="10">
        <f t="shared" si="189"/>
        <v>2107.34</v>
      </c>
      <c r="H353" s="10">
        <v>2107.34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7">
        <f t="shared" si="188"/>
        <v>2107.34</v>
      </c>
      <c r="U353" s="8">
        <f t="shared" si="165"/>
        <v>0</v>
      </c>
      <c r="V353" s="8"/>
      <c r="Z353" s="10"/>
      <c r="AA353" s="8"/>
      <c r="AI353" s="8"/>
    </row>
    <row r="354" spans="2:35" ht="9.75" customHeight="1" x14ac:dyDescent="0.25">
      <c r="B354" s="64" t="s">
        <v>686</v>
      </c>
      <c r="C354" s="64" t="s">
        <v>687</v>
      </c>
      <c r="D354" s="64" t="s">
        <v>30</v>
      </c>
      <c r="E354" s="51">
        <f t="shared" si="183"/>
        <v>0</v>
      </c>
      <c r="F354" s="10">
        <f t="shared" si="170"/>
        <v>4523.0200000000004</v>
      </c>
      <c r="G354" s="10">
        <f t="shared" si="189"/>
        <v>4523.0200000000004</v>
      </c>
      <c r="H354" s="10">
        <v>2261.5100000000002</v>
      </c>
      <c r="I354" s="10">
        <v>2261.5100000000002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7">
        <f t="shared" si="188"/>
        <v>4523.0200000000004</v>
      </c>
      <c r="U354" s="8">
        <f t="shared" si="165"/>
        <v>0</v>
      </c>
      <c r="V354" s="8"/>
      <c r="Z354" s="10">
        <v>1922.6</v>
      </c>
      <c r="AA354" s="8">
        <f t="shared" si="160"/>
        <v>-2600.4200000000005</v>
      </c>
      <c r="AG354" s="10">
        <f>1866.6*1.03</f>
        <v>1922.598</v>
      </c>
      <c r="AH354" s="61">
        <f t="shared" si="181"/>
        <v>-2600.4220000000005</v>
      </c>
      <c r="AI354" s="8">
        <f>+G354</f>
        <v>4523.0200000000004</v>
      </c>
    </row>
    <row r="355" spans="2:35" ht="9.75" customHeight="1" x14ac:dyDescent="0.25">
      <c r="B355" s="64" t="s">
        <v>688</v>
      </c>
      <c r="C355" s="64" t="s">
        <v>689</v>
      </c>
      <c r="D355" s="64" t="s">
        <v>30</v>
      </c>
      <c r="E355" s="51">
        <f t="shared" si="183"/>
        <v>0</v>
      </c>
      <c r="F355" s="10">
        <f t="shared" si="170"/>
        <v>2261.5100000000002</v>
      </c>
      <c r="G355" s="10">
        <f t="shared" si="189"/>
        <v>2261.5100000000002</v>
      </c>
      <c r="H355" s="10">
        <v>2261.5100000000002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10">
        <v>0</v>
      </c>
      <c r="S355" s="10">
        <v>0</v>
      </c>
      <c r="T355" s="7">
        <f t="shared" si="188"/>
        <v>2261.5100000000002</v>
      </c>
      <c r="U355" s="8">
        <f t="shared" si="165"/>
        <v>0</v>
      </c>
      <c r="V355" s="8"/>
      <c r="Z355" s="10"/>
      <c r="AA355" s="8"/>
      <c r="AI355" s="8"/>
    </row>
    <row r="356" spans="2:35" ht="9.75" customHeight="1" x14ac:dyDescent="0.25">
      <c r="B356" s="67" t="s">
        <v>690</v>
      </c>
      <c r="C356" s="67" t="s">
        <v>691</v>
      </c>
      <c r="D356" s="64" t="s">
        <v>30</v>
      </c>
      <c r="E356" s="51">
        <f t="shared" si="183"/>
        <v>0</v>
      </c>
      <c r="F356" s="10">
        <f t="shared" si="170"/>
        <v>0</v>
      </c>
      <c r="G356" s="10">
        <f t="shared" si="189"/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10">
        <v>0</v>
      </c>
      <c r="S356" s="10">
        <v>0</v>
      </c>
      <c r="T356" s="7">
        <f t="shared" si="188"/>
        <v>0</v>
      </c>
      <c r="U356" s="8">
        <f t="shared" si="165"/>
        <v>0</v>
      </c>
      <c r="V356" s="8"/>
      <c r="Z356" s="10"/>
      <c r="AA356" s="8"/>
      <c r="AI356" s="8"/>
    </row>
    <row r="357" spans="2:35" ht="9.75" customHeight="1" x14ac:dyDescent="0.25">
      <c r="B357" s="64" t="s">
        <v>692</v>
      </c>
      <c r="C357" s="64" t="s">
        <v>693</v>
      </c>
      <c r="D357" s="64"/>
      <c r="E357" s="51">
        <f t="shared" si="183"/>
        <v>0</v>
      </c>
      <c r="F357" s="10">
        <f>+G357</f>
        <v>1313.7</v>
      </c>
      <c r="G357" s="10">
        <f t="shared" si="189"/>
        <v>1313.7</v>
      </c>
      <c r="H357" s="10">
        <v>1313.7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7">
        <f t="shared" si="188"/>
        <v>1313.7</v>
      </c>
      <c r="U357" s="8">
        <f t="shared" si="165"/>
        <v>0</v>
      </c>
      <c r="V357" s="8"/>
      <c r="Z357" s="10"/>
      <c r="AA357" s="8"/>
      <c r="AI357" s="8"/>
    </row>
    <row r="358" spans="2:35" ht="12" customHeight="1" x14ac:dyDescent="0.25">
      <c r="B358" s="67" t="s">
        <v>694</v>
      </c>
      <c r="C358" s="67" t="s">
        <v>695</v>
      </c>
      <c r="D358" s="64" t="s">
        <v>30</v>
      </c>
      <c r="E358" s="51">
        <f t="shared" si="183"/>
        <v>0</v>
      </c>
      <c r="F358" s="10">
        <f t="shared" si="170"/>
        <v>5204.4399999999996</v>
      </c>
      <c r="G358" s="10">
        <f t="shared" si="189"/>
        <v>5204.4399999999996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5204.4399999999996</v>
      </c>
      <c r="P358" s="10">
        <v>0</v>
      </c>
      <c r="Q358" s="10">
        <v>0</v>
      </c>
      <c r="R358" s="10">
        <v>0</v>
      </c>
      <c r="S358" s="10">
        <v>0</v>
      </c>
      <c r="T358" s="7">
        <f t="shared" si="188"/>
        <v>5204.4399999999996</v>
      </c>
      <c r="U358" s="8">
        <f t="shared" si="165"/>
        <v>0</v>
      </c>
      <c r="V358" s="8"/>
      <c r="Z358" s="10"/>
      <c r="AA358" s="8"/>
      <c r="AI358" s="8"/>
    </row>
    <row r="359" spans="2:35" ht="12.75" customHeight="1" x14ac:dyDescent="0.25">
      <c r="B359" s="64" t="s">
        <v>696</v>
      </c>
      <c r="C359" s="64" t="s">
        <v>697</v>
      </c>
      <c r="D359" s="64" t="s">
        <v>505</v>
      </c>
      <c r="E359" s="51">
        <f t="shared" si="183"/>
        <v>0</v>
      </c>
      <c r="F359" s="10">
        <f t="shared" si="170"/>
        <v>51762.719999999994</v>
      </c>
      <c r="G359" s="10">
        <f t="shared" si="189"/>
        <v>51762.719999999994</v>
      </c>
      <c r="H359" s="10">
        <v>4313.5600000000004</v>
      </c>
      <c r="I359" s="10">
        <v>4313.5600000000004</v>
      </c>
      <c r="J359" s="10">
        <v>4313.5600000000004</v>
      </c>
      <c r="K359" s="10">
        <v>4313.5600000000004</v>
      </c>
      <c r="L359" s="10">
        <v>4313.5600000000004</v>
      </c>
      <c r="M359" s="10">
        <v>4313.5600000000004</v>
      </c>
      <c r="N359" s="10">
        <v>4313.5600000000004</v>
      </c>
      <c r="O359" s="10">
        <v>4313.5600000000004</v>
      </c>
      <c r="P359" s="10">
        <v>4313.5600000000004</v>
      </c>
      <c r="Q359" s="10">
        <v>4313.5600000000004</v>
      </c>
      <c r="R359" s="10">
        <v>4313.5600000000004</v>
      </c>
      <c r="S359" s="10">
        <v>4313.5600000000004</v>
      </c>
      <c r="T359" s="7">
        <f t="shared" si="188"/>
        <v>51762.719999999994</v>
      </c>
      <c r="U359" s="8">
        <f t="shared" si="165"/>
        <v>0</v>
      </c>
      <c r="V359" s="8"/>
      <c r="Z359" s="10"/>
      <c r="AA359" s="8"/>
      <c r="AI359" s="8"/>
    </row>
    <row r="360" spans="2:35" ht="23.25" customHeight="1" x14ac:dyDescent="0.25">
      <c r="B360" s="62" t="s">
        <v>698</v>
      </c>
      <c r="C360" s="71" t="s">
        <v>699</v>
      </c>
      <c r="D360" s="71"/>
      <c r="E360" s="51">
        <f t="shared" ref="E360:E367" si="190">SUM(H360:S360)-G360</f>
        <v>0</v>
      </c>
      <c r="F360" s="10"/>
      <c r="G360" s="63">
        <f>+G361</f>
        <v>0</v>
      </c>
      <c r="H360" s="63">
        <f t="shared" ref="H360:Z360" si="191">+H361</f>
        <v>0</v>
      </c>
      <c r="I360" s="63">
        <f t="shared" si="191"/>
        <v>0</v>
      </c>
      <c r="J360" s="63">
        <f t="shared" si="191"/>
        <v>0</v>
      </c>
      <c r="K360" s="63">
        <f t="shared" si="191"/>
        <v>0</v>
      </c>
      <c r="L360" s="63">
        <f t="shared" si="191"/>
        <v>0</v>
      </c>
      <c r="M360" s="63">
        <f t="shared" si="191"/>
        <v>0</v>
      </c>
      <c r="N360" s="63">
        <f t="shared" si="191"/>
        <v>0</v>
      </c>
      <c r="O360" s="63">
        <f t="shared" si="191"/>
        <v>0</v>
      </c>
      <c r="P360" s="63">
        <f t="shared" si="191"/>
        <v>0</v>
      </c>
      <c r="Q360" s="63">
        <f t="shared" si="191"/>
        <v>0</v>
      </c>
      <c r="R360" s="63">
        <f t="shared" si="191"/>
        <v>0</v>
      </c>
      <c r="S360" s="63">
        <f t="shared" si="191"/>
        <v>0</v>
      </c>
      <c r="T360" s="7">
        <f t="shared" si="188"/>
        <v>0</v>
      </c>
      <c r="U360" s="8">
        <f t="shared" si="165"/>
        <v>0</v>
      </c>
      <c r="V360" s="8"/>
      <c r="Z360" s="63">
        <f t="shared" si="191"/>
        <v>0</v>
      </c>
      <c r="AA360" s="8">
        <f t="shared" si="160"/>
        <v>0</v>
      </c>
      <c r="AH360" s="61">
        <f t="shared" si="181"/>
        <v>0</v>
      </c>
      <c r="AI360" s="8"/>
    </row>
    <row r="361" spans="2:35" ht="9.75" customHeight="1" x14ac:dyDescent="0.25">
      <c r="B361" s="64" t="s">
        <v>700</v>
      </c>
      <c r="C361" s="64" t="s">
        <v>701</v>
      </c>
      <c r="D361" s="64" t="s">
        <v>30</v>
      </c>
      <c r="E361" s="51">
        <f t="shared" si="183"/>
        <v>0</v>
      </c>
      <c r="F361" s="10">
        <f t="shared" si="170"/>
        <v>0</v>
      </c>
      <c r="G361" s="10">
        <f>SUM(H361:S361)</f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7">
        <f t="shared" si="188"/>
        <v>0</v>
      </c>
      <c r="U361" s="8">
        <f t="shared" si="165"/>
        <v>0</v>
      </c>
      <c r="V361" s="8"/>
      <c r="Z361" s="10">
        <v>0</v>
      </c>
      <c r="AA361" s="8">
        <f t="shared" si="160"/>
        <v>0</v>
      </c>
      <c r="AH361" s="61">
        <f t="shared" si="181"/>
        <v>0</v>
      </c>
      <c r="AI361" s="8">
        <f>+G361</f>
        <v>0</v>
      </c>
    </row>
    <row r="362" spans="2:35" ht="19.8" x14ac:dyDescent="0.25">
      <c r="B362" s="62" t="s">
        <v>702</v>
      </c>
      <c r="C362" s="71" t="s">
        <v>703</v>
      </c>
      <c r="D362" s="71"/>
      <c r="E362" s="51">
        <f t="shared" si="190"/>
        <v>0</v>
      </c>
      <c r="F362" s="10"/>
      <c r="G362" s="63">
        <f>+G363+G365+G367</f>
        <v>7254.25</v>
      </c>
      <c r="H362" s="63">
        <f t="shared" ref="H362:S362" si="192">+H363+H365+H367</f>
        <v>3100</v>
      </c>
      <c r="I362" s="63">
        <f t="shared" si="192"/>
        <v>0</v>
      </c>
      <c r="J362" s="63">
        <f t="shared" si="192"/>
        <v>0</v>
      </c>
      <c r="K362" s="63">
        <f t="shared" si="192"/>
        <v>114</v>
      </c>
      <c r="L362" s="63">
        <f t="shared" si="192"/>
        <v>0</v>
      </c>
      <c r="M362" s="63">
        <f t="shared" si="192"/>
        <v>3000</v>
      </c>
      <c r="N362" s="63">
        <f t="shared" si="192"/>
        <v>113.14</v>
      </c>
      <c r="O362" s="63">
        <f t="shared" si="192"/>
        <v>0</v>
      </c>
      <c r="P362" s="63">
        <f t="shared" si="192"/>
        <v>703.53</v>
      </c>
      <c r="Q362" s="63">
        <f t="shared" si="192"/>
        <v>78.209999999999994</v>
      </c>
      <c r="R362" s="63">
        <f t="shared" si="192"/>
        <v>145.37</v>
      </c>
      <c r="S362" s="63">
        <f t="shared" si="192"/>
        <v>0</v>
      </c>
      <c r="T362" s="7">
        <f t="shared" si="188"/>
        <v>7254.25</v>
      </c>
      <c r="U362" s="8">
        <f t="shared" si="165"/>
        <v>0</v>
      </c>
      <c r="V362" s="8"/>
      <c r="Z362" s="63"/>
      <c r="AA362" s="8"/>
      <c r="AH362" s="61">
        <f t="shared" si="181"/>
        <v>-7254.25</v>
      </c>
      <c r="AI362" s="8"/>
    </row>
    <row r="363" spans="2:35" ht="24" customHeight="1" x14ac:dyDescent="0.25">
      <c r="B363" s="62" t="s">
        <v>704</v>
      </c>
      <c r="C363" s="71" t="s">
        <v>703</v>
      </c>
      <c r="D363" s="71"/>
      <c r="E363" s="51">
        <f t="shared" si="190"/>
        <v>0</v>
      </c>
      <c r="F363" s="10">
        <f t="shared" si="170"/>
        <v>0</v>
      </c>
      <c r="G363" s="63">
        <f>+G364</f>
        <v>0</v>
      </c>
      <c r="H363" s="63">
        <f t="shared" ref="H363:Z363" si="193">+H364</f>
        <v>0</v>
      </c>
      <c r="I363" s="63">
        <f t="shared" si="193"/>
        <v>0</v>
      </c>
      <c r="J363" s="63">
        <f t="shared" si="193"/>
        <v>0</v>
      </c>
      <c r="K363" s="63">
        <f t="shared" si="193"/>
        <v>0</v>
      </c>
      <c r="L363" s="63">
        <f t="shared" si="193"/>
        <v>0</v>
      </c>
      <c r="M363" s="63">
        <f t="shared" si="193"/>
        <v>0</v>
      </c>
      <c r="N363" s="63">
        <f t="shared" si="193"/>
        <v>0</v>
      </c>
      <c r="O363" s="63">
        <f t="shared" si="193"/>
        <v>0</v>
      </c>
      <c r="P363" s="63">
        <f t="shared" si="193"/>
        <v>0</v>
      </c>
      <c r="Q363" s="63">
        <f t="shared" si="193"/>
        <v>0</v>
      </c>
      <c r="R363" s="63">
        <f t="shared" si="193"/>
        <v>0</v>
      </c>
      <c r="S363" s="63">
        <f t="shared" si="193"/>
        <v>0</v>
      </c>
      <c r="T363" s="7">
        <f t="shared" si="188"/>
        <v>0</v>
      </c>
      <c r="U363" s="8">
        <f t="shared" si="165"/>
        <v>0</v>
      </c>
      <c r="V363" s="8"/>
      <c r="Z363" s="63">
        <f t="shared" si="193"/>
        <v>53.74</v>
      </c>
      <c r="AA363" s="8">
        <f t="shared" si="160"/>
        <v>53.74</v>
      </c>
      <c r="AH363" s="61">
        <f t="shared" si="181"/>
        <v>0</v>
      </c>
      <c r="AI363" s="8"/>
    </row>
    <row r="364" spans="2:35" ht="9.75" customHeight="1" x14ac:dyDescent="0.25">
      <c r="B364" s="64" t="s">
        <v>705</v>
      </c>
      <c r="C364" s="64" t="s">
        <v>706</v>
      </c>
      <c r="D364" s="64" t="s">
        <v>30</v>
      </c>
      <c r="E364" s="51">
        <f t="shared" si="183"/>
        <v>0</v>
      </c>
      <c r="F364" s="10">
        <f t="shared" si="170"/>
        <v>0</v>
      </c>
      <c r="G364" s="10">
        <f>SUM(H364:S364)</f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7">
        <f t="shared" si="188"/>
        <v>0</v>
      </c>
      <c r="U364" s="8">
        <f t="shared" si="165"/>
        <v>0</v>
      </c>
      <c r="V364" s="8"/>
      <c r="Z364" s="10">
        <v>53.74</v>
      </c>
      <c r="AA364" s="8">
        <f t="shared" si="160"/>
        <v>53.74</v>
      </c>
      <c r="AG364" s="10">
        <f>52.17*1.03</f>
        <v>53.735100000000003</v>
      </c>
      <c r="AH364" s="61">
        <f t="shared" si="181"/>
        <v>53.735100000000003</v>
      </c>
      <c r="AI364" s="8">
        <f>+G364</f>
        <v>0</v>
      </c>
    </row>
    <row r="365" spans="2:35" ht="19.8" x14ac:dyDescent="0.25">
      <c r="B365" s="62" t="s">
        <v>707</v>
      </c>
      <c r="C365" s="71" t="s">
        <v>708</v>
      </c>
      <c r="D365" s="71"/>
      <c r="E365" s="51">
        <f t="shared" si="190"/>
        <v>0</v>
      </c>
      <c r="F365" s="10"/>
      <c r="G365" s="63">
        <f>+G366</f>
        <v>781.74</v>
      </c>
      <c r="H365" s="63">
        <f t="shared" ref="H365:S365" si="194">+H366</f>
        <v>0</v>
      </c>
      <c r="I365" s="63">
        <f t="shared" si="194"/>
        <v>0</v>
      </c>
      <c r="J365" s="63">
        <f t="shared" si="194"/>
        <v>0</v>
      </c>
      <c r="K365" s="63">
        <f t="shared" si="194"/>
        <v>0</v>
      </c>
      <c r="L365" s="63">
        <f t="shared" si="194"/>
        <v>0</v>
      </c>
      <c r="M365" s="63">
        <f t="shared" si="194"/>
        <v>0</v>
      </c>
      <c r="N365" s="63">
        <f t="shared" si="194"/>
        <v>0</v>
      </c>
      <c r="O365" s="63">
        <f t="shared" si="194"/>
        <v>0</v>
      </c>
      <c r="P365" s="63">
        <f t="shared" si="194"/>
        <v>703.53</v>
      </c>
      <c r="Q365" s="63">
        <f t="shared" si="194"/>
        <v>78.209999999999994</v>
      </c>
      <c r="R365" s="63">
        <f t="shared" si="194"/>
        <v>0</v>
      </c>
      <c r="S365" s="63">
        <f t="shared" si="194"/>
        <v>0</v>
      </c>
      <c r="T365" s="7">
        <f t="shared" si="188"/>
        <v>781.74</v>
      </c>
      <c r="U365" s="8">
        <f t="shared" si="165"/>
        <v>0</v>
      </c>
      <c r="V365" s="8"/>
      <c r="Z365" s="63"/>
      <c r="AA365" s="8"/>
      <c r="AH365" s="61">
        <f t="shared" si="181"/>
        <v>-781.74</v>
      </c>
      <c r="AI365" s="8"/>
    </row>
    <row r="366" spans="2:35" ht="19.5" customHeight="1" x14ac:dyDescent="0.25">
      <c r="B366" s="64" t="s">
        <v>709</v>
      </c>
      <c r="C366" s="73" t="s">
        <v>710</v>
      </c>
      <c r="D366" s="64" t="s">
        <v>30</v>
      </c>
      <c r="E366" s="51">
        <f t="shared" ref="E366:E370" si="195">+F366-G366</f>
        <v>0</v>
      </c>
      <c r="F366" s="10">
        <f t="shared" si="170"/>
        <v>781.74</v>
      </c>
      <c r="G366" s="10">
        <f>SUM(H366:S366)</f>
        <v>781.74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0</v>
      </c>
      <c r="N366" s="10"/>
      <c r="O366" s="10">
        <v>0</v>
      </c>
      <c r="P366" s="10">
        <v>703.53</v>
      </c>
      <c r="Q366" s="65">
        <v>78.209999999999994</v>
      </c>
      <c r="R366" s="65">
        <v>0</v>
      </c>
      <c r="S366" s="65">
        <v>0</v>
      </c>
      <c r="T366" s="7">
        <f t="shared" si="188"/>
        <v>781.74</v>
      </c>
      <c r="U366" s="8">
        <f t="shared" ref="U366:U442" si="196">+T366-G366</f>
        <v>0</v>
      </c>
      <c r="V366" s="8"/>
      <c r="Z366" s="10"/>
      <c r="AA366" s="8"/>
      <c r="AG366" s="10">
        <f>952.59*1.03</f>
        <v>981.16770000000008</v>
      </c>
      <c r="AH366" s="61">
        <f t="shared" si="181"/>
        <v>199.42770000000007</v>
      </c>
      <c r="AI366" s="8">
        <f>+G366</f>
        <v>781.74</v>
      </c>
    </row>
    <row r="367" spans="2:35" ht="9.75" customHeight="1" x14ac:dyDescent="0.25">
      <c r="B367" s="62" t="s">
        <v>711</v>
      </c>
      <c r="C367" s="62" t="s">
        <v>712</v>
      </c>
      <c r="D367" s="62"/>
      <c r="E367" s="51">
        <f t="shared" si="190"/>
        <v>0</v>
      </c>
      <c r="F367" s="10"/>
      <c r="G367" s="63">
        <f>SUM(G368:G370)</f>
        <v>6472.51</v>
      </c>
      <c r="H367" s="63">
        <f t="shared" ref="H367:S367" si="197">SUM(H368:H370)</f>
        <v>3100</v>
      </c>
      <c r="I367" s="63">
        <f t="shared" si="197"/>
        <v>0</v>
      </c>
      <c r="J367" s="63">
        <f t="shared" si="197"/>
        <v>0</v>
      </c>
      <c r="K367" s="63">
        <f t="shared" si="197"/>
        <v>114</v>
      </c>
      <c r="L367" s="63">
        <f t="shared" si="197"/>
        <v>0</v>
      </c>
      <c r="M367" s="63">
        <f t="shared" si="197"/>
        <v>3000</v>
      </c>
      <c r="N367" s="63">
        <f t="shared" si="197"/>
        <v>113.14</v>
      </c>
      <c r="O367" s="63">
        <f t="shared" si="197"/>
        <v>0</v>
      </c>
      <c r="P367" s="63">
        <f t="shared" si="197"/>
        <v>0</v>
      </c>
      <c r="Q367" s="63">
        <f t="shared" si="197"/>
        <v>0</v>
      </c>
      <c r="R367" s="63">
        <f t="shared" si="197"/>
        <v>145.37</v>
      </c>
      <c r="S367" s="63">
        <f t="shared" si="197"/>
        <v>0</v>
      </c>
      <c r="T367" s="7">
        <f t="shared" si="188"/>
        <v>6472.51</v>
      </c>
      <c r="U367" s="8">
        <f t="shared" si="196"/>
        <v>0</v>
      </c>
      <c r="V367" s="8"/>
      <c r="Z367" s="63"/>
      <c r="AA367" s="8"/>
      <c r="AH367" s="61">
        <f t="shared" si="181"/>
        <v>-6472.51</v>
      </c>
      <c r="AI367" s="8"/>
    </row>
    <row r="368" spans="2:35" ht="9.75" customHeight="1" x14ac:dyDescent="0.25">
      <c r="B368" s="64" t="s">
        <v>713</v>
      </c>
      <c r="C368" s="64" t="s">
        <v>714</v>
      </c>
      <c r="D368" s="64" t="s">
        <v>30</v>
      </c>
      <c r="E368" s="51">
        <f t="shared" si="195"/>
        <v>0</v>
      </c>
      <c r="F368" s="10">
        <f t="shared" si="170"/>
        <v>0</v>
      </c>
      <c r="G368" s="10">
        <f>SUM(H368:S368)</f>
        <v>0</v>
      </c>
      <c r="H368" s="10"/>
      <c r="I368" s="10"/>
      <c r="J368" s="10"/>
      <c r="K368" s="10"/>
      <c r="L368" s="10"/>
      <c r="M368" s="10"/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7">
        <f t="shared" si="188"/>
        <v>0</v>
      </c>
      <c r="U368" s="8">
        <f t="shared" si="196"/>
        <v>0</v>
      </c>
      <c r="V368" s="8"/>
      <c r="Z368" s="10">
        <v>149.72999999999999</v>
      </c>
      <c r="AA368" s="8">
        <f t="shared" si="160"/>
        <v>149.72999999999999</v>
      </c>
      <c r="AG368" s="10">
        <f>145.37*1.03</f>
        <v>149.7311</v>
      </c>
      <c r="AH368" s="61">
        <f t="shared" si="181"/>
        <v>149.7311</v>
      </c>
      <c r="AI368" s="8">
        <f>+G368</f>
        <v>0</v>
      </c>
    </row>
    <row r="369" spans="2:35" ht="9.75" customHeight="1" x14ac:dyDescent="0.25">
      <c r="B369" s="64" t="s">
        <v>715</v>
      </c>
      <c r="C369" s="64" t="s">
        <v>716</v>
      </c>
      <c r="D369" s="64" t="s">
        <v>30</v>
      </c>
      <c r="E369" s="51">
        <f t="shared" si="195"/>
        <v>0</v>
      </c>
      <c r="F369" s="10">
        <f t="shared" si="170"/>
        <v>6472.51</v>
      </c>
      <c r="G369" s="10">
        <f>SUM(H369:S369)</f>
        <v>6472.51</v>
      </c>
      <c r="H369" s="10">
        <v>3100</v>
      </c>
      <c r="I369" s="10">
        <v>0</v>
      </c>
      <c r="J369" s="10">
        <v>0</v>
      </c>
      <c r="K369" s="10">
        <v>114</v>
      </c>
      <c r="L369" s="10">
        <v>0</v>
      </c>
      <c r="M369" s="10">
        <v>3000</v>
      </c>
      <c r="N369" s="10">
        <v>113.14</v>
      </c>
      <c r="O369" s="10">
        <v>0</v>
      </c>
      <c r="P369" s="10">
        <v>0</v>
      </c>
      <c r="Q369" s="10">
        <v>0</v>
      </c>
      <c r="R369" s="10">
        <v>145.37</v>
      </c>
      <c r="S369" s="10">
        <v>0</v>
      </c>
      <c r="T369" s="7">
        <f t="shared" si="188"/>
        <v>6472.51</v>
      </c>
      <c r="U369" s="8">
        <f t="shared" si="196"/>
        <v>0</v>
      </c>
      <c r="V369" s="8"/>
      <c r="Z369" s="10"/>
      <c r="AA369" s="8"/>
      <c r="AG369" s="10">
        <f>615.11*1.03</f>
        <v>633.56330000000003</v>
      </c>
      <c r="AH369" s="61">
        <f t="shared" si="181"/>
        <v>-5838.9467000000004</v>
      </c>
      <c r="AI369" s="8">
        <f>+G369</f>
        <v>6472.51</v>
      </c>
    </row>
    <row r="370" spans="2:35" ht="9.75" customHeight="1" x14ac:dyDescent="0.25">
      <c r="B370" s="64" t="s">
        <v>717</v>
      </c>
      <c r="C370" s="64" t="s">
        <v>718</v>
      </c>
      <c r="D370" s="64" t="s">
        <v>30</v>
      </c>
      <c r="E370" s="51">
        <f t="shared" si="195"/>
        <v>0</v>
      </c>
      <c r="F370" s="10">
        <f t="shared" si="170"/>
        <v>0</v>
      </c>
      <c r="G370" s="10">
        <f>SUM(H370:S370)</f>
        <v>0</v>
      </c>
      <c r="H370" s="10"/>
      <c r="I370" s="10"/>
      <c r="J370" s="10"/>
      <c r="K370" s="10"/>
      <c r="L370" s="10"/>
      <c r="M370" s="10"/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7">
        <f t="shared" si="188"/>
        <v>0</v>
      </c>
      <c r="U370" s="8">
        <f t="shared" si="196"/>
        <v>0</v>
      </c>
      <c r="V370" s="8"/>
      <c r="Z370" s="10">
        <v>436.11</v>
      </c>
      <c r="AA370" s="8">
        <f t="shared" si="160"/>
        <v>436.11</v>
      </c>
      <c r="AG370" s="10">
        <f>290.74*1.03</f>
        <v>299.4622</v>
      </c>
      <c r="AH370" s="61">
        <f t="shared" si="181"/>
        <v>299.4622</v>
      </c>
      <c r="AI370" s="8">
        <f>+G370</f>
        <v>0</v>
      </c>
    </row>
    <row r="371" spans="2:35" ht="9.75" customHeight="1" x14ac:dyDescent="0.25">
      <c r="B371" s="62" t="s">
        <v>719</v>
      </c>
      <c r="C371" s="62" t="s">
        <v>720</v>
      </c>
      <c r="D371" s="62"/>
      <c r="E371" s="51">
        <f t="shared" ref="E371:E373" si="198">SUM(H371:S371)-G371</f>
        <v>0</v>
      </c>
      <c r="F371" s="10"/>
      <c r="G371" s="63">
        <f>+G372</f>
        <v>130526</v>
      </c>
      <c r="H371" s="63">
        <f t="shared" ref="H371:S371" si="199">+H372</f>
        <v>17856</v>
      </c>
      <c r="I371" s="63">
        <f t="shared" si="199"/>
        <v>18228</v>
      </c>
      <c r="J371" s="63">
        <f t="shared" si="199"/>
        <v>17394</v>
      </c>
      <c r="K371" s="63">
        <f t="shared" si="199"/>
        <v>11275</v>
      </c>
      <c r="L371" s="63">
        <f t="shared" si="199"/>
        <v>9656</v>
      </c>
      <c r="M371" s="63">
        <f t="shared" si="199"/>
        <v>8938</v>
      </c>
      <c r="N371" s="63">
        <f t="shared" si="199"/>
        <v>10388</v>
      </c>
      <c r="O371" s="63">
        <f t="shared" si="199"/>
        <v>18926</v>
      </c>
      <c r="P371" s="63">
        <f t="shared" si="199"/>
        <v>0</v>
      </c>
      <c r="Q371" s="63">
        <f t="shared" si="199"/>
        <v>5201</v>
      </c>
      <c r="R371" s="63">
        <f t="shared" si="199"/>
        <v>6717</v>
      </c>
      <c r="S371" s="63">
        <f t="shared" si="199"/>
        <v>5947</v>
      </c>
      <c r="T371" s="7">
        <f t="shared" si="188"/>
        <v>130526</v>
      </c>
      <c r="U371" s="8">
        <f t="shared" si="196"/>
        <v>0</v>
      </c>
      <c r="V371" s="8"/>
      <c r="Z371" s="63"/>
      <c r="AA371" s="8"/>
      <c r="AH371" s="61">
        <f t="shared" si="181"/>
        <v>-130526</v>
      </c>
      <c r="AI371" s="8"/>
    </row>
    <row r="372" spans="2:35" ht="9.75" customHeight="1" x14ac:dyDescent="0.25">
      <c r="B372" s="62" t="s">
        <v>721</v>
      </c>
      <c r="C372" s="62" t="s">
        <v>722</v>
      </c>
      <c r="D372" s="62"/>
      <c r="E372" s="51">
        <f t="shared" si="198"/>
        <v>0</v>
      </c>
      <c r="F372" s="10"/>
      <c r="G372" s="84">
        <f>+G373+G378+G382+G386</f>
        <v>130526</v>
      </c>
      <c r="H372" s="84">
        <f t="shared" ref="H372:S372" si="200">+H373+H378+H382+H386</f>
        <v>17856</v>
      </c>
      <c r="I372" s="84">
        <f t="shared" si="200"/>
        <v>18228</v>
      </c>
      <c r="J372" s="84">
        <f t="shared" si="200"/>
        <v>17394</v>
      </c>
      <c r="K372" s="84">
        <f t="shared" si="200"/>
        <v>11275</v>
      </c>
      <c r="L372" s="84">
        <f t="shared" si="200"/>
        <v>9656</v>
      </c>
      <c r="M372" s="84">
        <f t="shared" si="200"/>
        <v>8938</v>
      </c>
      <c r="N372" s="84">
        <f t="shared" si="200"/>
        <v>10388</v>
      </c>
      <c r="O372" s="84">
        <f t="shared" si="200"/>
        <v>18926</v>
      </c>
      <c r="P372" s="84">
        <f t="shared" si="200"/>
        <v>0</v>
      </c>
      <c r="Q372" s="84">
        <f t="shared" si="200"/>
        <v>5201</v>
      </c>
      <c r="R372" s="84">
        <f t="shared" si="200"/>
        <v>6717</v>
      </c>
      <c r="S372" s="84">
        <f t="shared" si="200"/>
        <v>5947</v>
      </c>
      <c r="T372" s="7">
        <f t="shared" si="188"/>
        <v>130526</v>
      </c>
      <c r="U372" s="8">
        <f t="shared" si="196"/>
        <v>0</v>
      </c>
      <c r="V372" s="8"/>
      <c r="Z372" s="84"/>
      <c r="AA372" s="8"/>
      <c r="AH372" s="61">
        <f t="shared" si="181"/>
        <v>-130526</v>
      </c>
      <c r="AI372" s="8"/>
    </row>
    <row r="373" spans="2:35" ht="9.75" customHeight="1" x14ac:dyDescent="0.25">
      <c r="B373" s="62" t="s">
        <v>723</v>
      </c>
      <c r="C373" s="62" t="s">
        <v>724</v>
      </c>
      <c r="D373" s="62"/>
      <c r="E373" s="51">
        <f t="shared" si="198"/>
        <v>0</v>
      </c>
      <c r="F373" s="10"/>
      <c r="G373" s="63">
        <f>SUM(G374:G377)</f>
        <v>2886</v>
      </c>
      <c r="H373" s="63">
        <f t="shared" ref="H373:S373" si="201">SUM(H374:H377)</f>
        <v>298</v>
      </c>
      <c r="I373" s="63">
        <f t="shared" si="201"/>
        <v>0</v>
      </c>
      <c r="J373" s="63">
        <f t="shared" si="201"/>
        <v>1108</v>
      </c>
      <c r="K373" s="63">
        <f t="shared" si="201"/>
        <v>277</v>
      </c>
      <c r="L373" s="63">
        <f t="shared" si="201"/>
        <v>277</v>
      </c>
      <c r="M373" s="63">
        <f t="shared" si="201"/>
        <v>277</v>
      </c>
      <c r="N373" s="63">
        <f t="shared" si="201"/>
        <v>156</v>
      </c>
      <c r="O373" s="63">
        <f t="shared" si="201"/>
        <v>277</v>
      </c>
      <c r="P373" s="63">
        <f t="shared" si="201"/>
        <v>0</v>
      </c>
      <c r="Q373" s="63">
        <f t="shared" si="201"/>
        <v>0</v>
      </c>
      <c r="R373" s="63">
        <f t="shared" si="201"/>
        <v>216</v>
      </c>
      <c r="S373" s="63">
        <f t="shared" si="201"/>
        <v>0</v>
      </c>
      <c r="T373" s="7">
        <f t="shared" si="188"/>
        <v>2886</v>
      </c>
      <c r="U373" s="8">
        <f t="shared" si="196"/>
        <v>0</v>
      </c>
      <c r="V373" s="8"/>
      <c r="Z373" s="63"/>
      <c r="AA373" s="8"/>
      <c r="AH373" s="61">
        <f t="shared" si="181"/>
        <v>-2886</v>
      </c>
      <c r="AI373" s="8"/>
    </row>
    <row r="374" spans="2:35" ht="9.75" customHeight="1" x14ac:dyDescent="0.25">
      <c r="B374" s="64" t="s">
        <v>725</v>
      </c>
      <c r="C374" s="64" t="s">
        <v>726</v>
      </c>
      <c r="D374" s="64" t="s">
        <v>720</v>
      </c>
      <c r="E374" s="51">
        <f t="shared" ref="E374:E381" si="202">+F374-G374</f>
        <v>0</v>
      </c>
      <c r="F374" s="10">
        <f t="shared" si="170"/>
        <v>0</v>
      </c>
      <c r="G374" s="10">
        <f>SUM(H374:S374)</f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7">
        <f t="shared" si="188"/>
        <v>0</v>
      </c>
      <c r="U374" s="8">
        <f t="shared" si="196"/>
        <v>0</v>
      </c>
      <c r="V374" s="8"/>
      <c r="Z374" s="10"/>
      <c r="AA374" s="8"/>
      <c r="AH374" s="61">
        <f t="shared" si="181"/>
        <v>0</v>
      </c>
      <c r="AI374" s="8">
        <f>+G374</f>
        <v>0</v>
      </c>
    </row>
    <row r="375" spans="2:35" ht="16.5" customHeight="1" x14ac:dyDescent="0.25">
      <c r="B375" s="64" t="s">
        <v>727</v>
      </c>
      <c r="C375" s="73" t="s">
        <v>728</v>
      </c>
      <c r="D375" s="64" t="s">
        <v>720</v>
      </c>
      <c r="E375" s="51">
        <f t="shared" si="202"/>
        <v>0</v>
      </c>
      <c r="F375" s="10">
        <f t="shared" si="170"/>
        <v>831</v>
      </c>
      <c r="G375" s="10">
        <f>SUM(H375:S375)</f>
        <v>831</v>
      </c>
      <c r="H375" s="10">
        <v>0</v>
      </c>
      <c r="I375" s="10">
        <v>0</v>
      </c>
      <c r="J375" s="10">
        <v>277</v>
      </c>
      <c r="K375" s="10">
        <v>0</v>
      </c>
      <c r="L375" s="10">
        <v>0</v>
      </c>
      <c r="M375" s="10">
        <v>277</v>
      </c>
      <c r="N375" s="10">
        <v>0</v>
      </c>
      <c r="O375" s="10">
        <v>277</v>
      </c>
      <c r="P375" s="10">
        <v>0</v>
      </c>
      <c r="Q375" s="10">
        <v>0</v>
      </c>
      <c r="R375" s="10">
        <v>0</v>
      </c>
      <c r="S375" s="10">
        <v>0</v>
      </c>
      <c r="T375" s="7">
        <f t="shared" si="188"/>
        <v>831</v>
      </c>
      <c r="U375" s="8">
        <f t="shared" si="196"/>
        <v>0</v>
      </c>
      <c r="V375" s="8"/>
      <c r="Z375" s="10"/>
      <c r="AA375" s="8"/>
      <c r="AG375" s="10">
        <f>1057*1.03</f>
        <v>1088.71</v>
      </c>
      <c r="AH375" s="61">
        <f t="shared" si="181"/>
        <v>257.71000000000004</v>
      </c>
      <c r="AI375" s="8">
        <f>+G375</f>
        <v>831</v>
      </c>
    </row>
    <row r="376" spans="2:35" ht="19.8" x14ac:dyDescent="0.25">
      <c r="B376" s="64" t="s">
        <v>729</v>
      </c>
      <c r="C376" s="73" t="s">
        <v>730</v>
      </c>
      <c r="D376" s="64" t="s">
        <v>720</v>
      </c>
      <c r="E376" s="51">
        <f t="shared" si="202"/>
        <v>0</v>
      </c>
      <c r="F376" s="10">
        <f t="shared" si="170"/>
        <v>1601</v>
      </c>
      <c r="G376" s="10">
        <f>SUM(H376:S376)</f>
        <v>1601</v>
      </c>
      <c r="H376" s="10">
        <v>0</v>
      </c>
      <c r="I376" s="10">
        <v>0</v>
      </c>
      <c r="J376" s="10">
        <v>831</v>
      </c>
      <c r="K376" s="10">
        <v>277</v>
      </c>
      <c r="L376" s="10">
        <v>277</v>
      </c>
      <c r="M376" s="10">
        <v>0</v>
      </c>
      <c r="N376" s="10">
        <v>0</v>
      </c>
      <c r="O376" s="10"/>
      <c r="P376" s="10">
        <v>0</v>
      </c>
      <c r="Q376" s="10">
        <v>0</v>
      </c>
      <c r="R376" s="10">
        <v>216</v>
      </c>
      <c r="S376" s="10">
        <v>0</v>
      </c>
      <c r="T376" s="7">
        <f t="shared" si="188"/>
        <v>1601</v>
      </c>
      <c r="U376" s="8">
        <f t="shared" si="196"/>
        <v>0</v>
      </c>
      <c r="V376" s="8"/>
      <c r="Z376" s="10"/>
      <c r="AA376" s="8"/>
      <c r="AG376" s="10">
        <f>419*1.03</f>
        <v>431.57</v>
      </c>
      <c r="AH376" s="61">
        <f t="shared" si="181"/>
        <v>-1169.43</v>
      </c>
      <c r="AI376" s="8">
        <f>+G376</f>
        <v>1601</v>
      </c>
    </row>
    <row r="377" spans="2:35" ht="9.75" customHeight="1" x14ac:dyDescent="0.25">
      <c r="B377" s="64" t="s">
        <v>731</v>
      </c>
      <c r="C377" s="64" t="s">
        <v>732</v>
      </c>
      <c r="D377" s="64" t="s">
        <v>720</v>
      </c>
      <c r="E377" s="51">
        <f t="shared" si="202"/>
        <v>0</v>
      </c>
      <c r="F377" s="10">
        <f t="shared" si="170"/>
        <v>454</v>
      </c>
      <c r="G377" s="10">
        <f>SUM(H377:S377)</f>
        <v>454</v>
      </c>
      <c r="H377" s="10">
        <v>298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156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7">
        <f t="shared" si="188"/>
        <v>454</v>
      </c>
      <c r="U377" s="8">
        <f t="shared" si="196"/>
        <v>0</v>
      </c>
      <c r="V377" s="8"/>
      <c r="Z377" s="10"/>
      <c r="AA377" s="8"/>
      <c r="AG377" s="10">
        <f>453.7*1.03</f>
        <v>467.31099999999998</v>
      </c>
      <c r="AH377" s="61">
        <f t="shared" si="181"/>
        <v>13.310999999999979</v>
      </c>
      <c r="AI377" s="8">
        <f>+G377</f>
        <v>454</v>
      </c>
    </row>
    <row r="378" spans="2:35" ht="9.75" customHeight="1" x14ac:dyDescent="0.25">
      <c r="B378" s="62" t="s">
        <v>733</v>
      </c>
      <c r="C378" s="62" t="s">
        <v>734</v>
      </c>
      <c r="D378" s="62"/>
      <c r="E378" s="51">
        <f t="shared" ref="E378" si="203">SUM(H378:S378)-G378</f>
        <v>0</v>
      </c>
      <c r="F378" s="10"/>
      <c r="G378" s="63">
        <f>SUM(G379:G381)</f>
        <v>1898</v>
      </c>
      <c r="H378" s="63">
        <f t="shared" ref="H378:S378" si="204">SUM(H379:H381)</f>
        <v>0</v>
      </c>
      <c r="I378" s="63">
        <f t="shared" si="204"/>
        <v>0</v>
      </c>
      <c r="J378" s="63">
        <f t="shared" si="204"/>
        <v>406</v>
      </c>
      <c r="K378" s="63">
        <f t="shared" si="204"/>
        <v>0</v>
      </c>
      <c r="L378" s="63">
        <f t="shared" si="204"/>
        <v>0</v>
      </c>
      <c r="M378" s="63">
        <f t="shared" si="204"/>
        <v>0</v>
      </c>
      <c r="N378" s="63">
        <f t="shared" si="204"/>
        <v>0</v>
      </c>
      <c r="O378" s="63">
        <f t="shared" si="204"/>
        <v>0</v>
      </c>
      <c r="P378" s="63">
        <f t="shared" si="204"/>
        <v>0</v>
      </c>
      <c r="Q378" s="63">
        <f t="shared" si="204"/>
        <v>0</v>
      </c>
      <c r="R378" s="63">
        <f t="shared" si="204"/>
        <v>746</v>
      </c>
      <c r="S378" s="63">
        <f t="shared" si="204"/>
        <v>746</v>
      </c>
      <c r="T378" s="7">
        <f t="shared" si="188"/>
        <v>1898</v>
      </c>
      <c r="U378" s="8">
        <f t="shared" si="196"/>
        <v>0</v>
      </c>
      <c r="V378" s="8"/>
      <c r="W378" s="63"/>
      <c r="X378" s="63"/>
      <c r="Y378" s="63"/>
      <c r="Z378" s="63"/>
      <c r="AA378" s="8"/>
      <c r="AB378" s="63"/>
      <c r="AC378" s="63"/>
      <c r="AD378" s="63"/>
      <c r="AE378" s="63"/>
      <c r="AF378" s="63"/>
      <c r="AH378" s="61">
        <f t="shared" si="181"/>
        <v>-1898</v>
      </c>
      <c r="AI378" s="8"/>
    </row>
    <row r="379" spans="2:35" ht="9.75" customHeight="1" x14ac:dyDescent="0.25">
      <c r="B379" s="64" t="s">
        <v>735</v>
      </c>
      <c r="C379" s="64" t="s">
        <v>736</v>
      </c>
      <c r="D379" s="64" t="s">
        <v>720</v>
      </c>
      <c r="E379" s="51">
        <f t="shared" si="202"/>
        <v>0</v>
      </c>
      <c r="F379" s="10">
        <f t="shared" si="170"/>
        <v>1898</v>
      </c>
      <c r="G379" s="10">
        <f>SUM(H379:S379)</f>
        <v>1898</v>
      </c>
      <c r="H379" s="10">
        <v>0</v>
      </c>
      <c r="I379" s="10">
        <v>0</v>
      </c>
      <c r="J379" s="10">
        <v>406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746</v>
      </c>
      <c r="S379" s="10">
        <v>746</v>
      </c>
      <c r="T379" s="7">
        <f t="shared" si="188"/>
        <v>1898</v>
      </c>
      <c r="U379" s="8">
        <f t="shared" si="196"/>
        <v>0</v>
      </c>
      <c r="V379" s="8"/>
      <c r="Z379" s="10"/>
      <c r="AA379" s="8"/>
      <c r="AG379" s="10">
        <f>8959.8*1.03</f>
        <v>9228.5939999999991</v>
      </c>
      <c r="AH379" s="61">
        <f t="shared" si="181"/>
        <v>7330.5939999999991</v>
      </c>
      <c r="AI379" s="8">
        <f>+G379</f>
        <v>1898</v>
      </c>
    </row>
    <row r="380" spans="2:35" ht="9.75" customHeight="1" x14ac:dyDescent="0.25">
      <c r="B380" s="64" t="s">
        <v>737</v>
      </c>
      <c r="C380" s="64" t="s">
        <v>738</v>
      </c>
      <c r="D380" s="64" t="s">
        <v>720</v>
      </c>
      <c r="E380" s="51">
        <f t="shared" si="202"/>
        <v>0</v>
      </c>
      <c r="F380" s="10">
        <f t="shared" si="170"/>
        <v>0</v>
      </c>
      <c r="G380" s="10">
        <f>SUM(H380:S380)</f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7">
        <f t="shared" si="188"/>
        <v>0</v>
      </c>
      <c r="U380" s="8">
        <f t="shared" si="196"/>
        <v>0</v>
      </c>
      <c r="V380" s="8"/>
      <c r="Z380" s="10"/>
      <c r="AA380" s="8"/>
      <c r="AG380" s="10">
        <f>6090.2*1.03</f>
        <v>6272.9059999999999</v>
      </c>
      <c r="AH380" s="61">
        <f t="shared" si="181"/>
        <v>6272.9059999999999</v>
      </c>
      <c r="AI380" s="8">
        <f>+G380</f>
        <v>0</v>
      </c>
    </row>
    <row r="381" spans="2:35" ht="9.75" customHeight="1" x14ac:dyDescent="0.25">
      <c r="B381" s="64" t="s">
        <v>739</v>
      </c>
      <c r="C381" s="64" t="s">
        <v>740</v>
      </c>
      <c r="D381" s="64" t="s">
        <v>720</v>
      </c>
      <c r="E381" s="51">
        <f t="shared" si="202"/>
        <v>0</v>
      </c>
      <c r="F381" s="10">
        <f t="shared" si="170"/>
        <v>0</v>
      </c>
      <c r="G381" s="10">
        <f>SUM(H381:S381)</f>
        <v>0</v>
      </c>
      <c r="H381" s="10"/>
      <c r="I381" s="10"/>
      <c r="J381" s="10"/>
      <c r="K381" s="10"/>
      <c r="L381" s="10"/>
      <c r="M381" s="10"/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7">
        <f t="shared" si="188"/>
        <v>0</v>
      </c>
      <c r="U381" s="8">
        <f t="shared" si="196"/>
        <v>0</v>
      </c>
      <c r="V381" s="8"/>
      <c r="Z381" s="10">
        <v>1376.08</v>
      </c>
      <c r="AA381" s="8">
        <f t="shared" ref="AA381:AA483" si="205">+Z381-G381</f>
        <v>1376.08</v>
      </c>
      <c r="AG381" s="10">
        <f>1336*1.03</f>
        <v>1376.08</v>
      </c>
      <c r="AH381" s="61">
        <f t="shared" si="181"/>
        <v>1376.08</v>
      </c>
      <c r="AI381" s="8">
        <f>+G381</f>
        <v>0</v>
      </c>
    </row>
    <row r="382" spans="2:35" ht="9.75" customHeight="1" x14ac:dyDescent="0.25">
      <c r="B382" s="62" t="s">
        <v>741</v>
      </c>
      <c r="C382" s="62" t="s">
        <v>742</v>
      </c>
      <c r="D382" s="62"/>
      <c r="E382" s="51">
        <f t="shared" ref="E382" si="206">SUM(H382:S382)-G382</f>
        <v>0</v>
      </c>
      <c r="F382" s="10"/>
      <c r="G382" s="63">
        <f>SUM(G383:G385)</f>
        <v>11780</v>
      </c>
      <c r="H382" s="63">
        <f t="shared" ref="H382:S382" si="207">SUM(H383:H385)</f>
        <v>1162</v>
      </c>
      <c r="I382" s="63">
        <f t="shared" si="207"/>
        <v>2905</v>
      </c>
      <c r="J382" s="63">
        <f t="shared" si="207"/>
        <v>1210</v>
      </c>
      <c r="K382" s="63">
        <f t="shared" si="207"/>
        <v>2420</v>
      </c>
      <c r="L382" s="63">
        <f t="shared" si="207"/>
        <v>1714</v>
      </c>
      <c r="M382" s="63">
        <f t="shared" si="207"/>
        <v>1210</v>
      </c>
      <c r="N382" s="63">
        <f t="shared" si="207"/>
        <v>605</v>
      </c>
      <c r="O382" s="63">
        <f t="shared" si="207"/>
        <v>0</v>
      </c>
      <c r="P382" s="63">
        <f t="shared" si="207"/>
        <v>0</v>
      </c>
      <c r="Q382" s="63">
        <f t="shared" si="207"/>
        <v>0</v>
      </c>
      <c r="R382" s="63">
        <f t="shared" si="207"/>
        <v>554</v>
      </c>
      <c r="S382" s="63">
        <f t="shared" si="207"/>
        <v>0</v>
      </c>
      <c r="T382" s="7">
        <f t="shared" si="188"/>
        <v>11780</v>
      </c>
      <c r="U382" s="8">
        <f t="shared" si="196"/>
        <v>0</v>
      </c>
      <c r="V382" s="8"/>
      <c r="Z382" s="63"/>
      <c r="AA382" s="8"/>
      <c r="AH382" s="61">
        <f t="shared" si="181"/>
        <v>-11780</v>
      </c>
      <c r="AI382" s="8"/>
    </row>
    <row r="383" spans="2:35" ht="9.75" customHeight="1" x14ac:dyDescent="0.25">
      <c r="B383" s="64" t="s">
        <v>743</v>
      </c>
      <c r="C383" s="64" t="s">
        <v>744</v>
      </c>
      <c r="D383" s="64" t="s">
        <v>720</v>
      </c>
      <c r="E383" s="51">
        <f t="shared" ref="E383:E398" si="208">+F383-G383</f>
        <v>0</v>
      </c>
      <c r="F383" s="10">
        <f t="shared" si="170"/>
        <v>10671</v>
      </c>
      <c r="G383" s="10">
        <f>SUM(H383:S383)</f>
        <v>10671</v>
      </c>
      <c r="H383" s="10">
        <v>1162</v>
      </c>
      <c r="I383" s="10">
        <v>2905</v>
      </c>
      <c r="J383" s="10">
        <v>1210</v>
      </c>
      <c r="K383" s="10">
        <v>2420</v>
      </c>
      <c r="L383" s="10">
        <v>1210</v>
      </c>
      <c r="M383" s="10">
        <v>1210</v>
      </c>
      <c r="N383" s="10"/>
      <c r="O383" s="10"/>
      <c r="P383" s="10">
        <v>0</v>
      </c>
      <c r="Q383" s="10">
        <v>0</v>
      </c>
      <c r="R383" s="10">
        <v>554</v>
      </c>
      <c r="S383" s="10">
        <v>0</v>
      </c>
      <c r="T383" s="7">
        <f t="shared" si="188"/>
        <v>10671</v>
      </c>
      <c r="U383" s="8">
        <f t="shared" si="196"/>
        <v>0</v>
      </c>
      <c r="V383" s="8"/>
      <c r="Z383" s="10"/>
      <c r="AA383" s="8"/>
      <c r="AG383" s="10">
        <f>+G383*1.03</f>
        <v>10991.130000000001</v>
      </c>
      <c r="AH383" s="61">
        <f t="shared" si="181"/>
        <v>320.13000000000102</v>
      </c>
      <c r="AI383" s="8">
        <f>+G383</f>
        <v>10671</v>
      </c>
    </row>
    <row r="384" spans="2:35" ht="9.75" customHeight="1" x14ac:dyDescent="0.25">
      <c r="B384" s="64" t="s">
        <v>745</v>
      </c>
      <c r="C384" s="64" t="s">
        <v>746</v>
      </c>
      <c r="D384" s="64" t="s">
        <v>720</v>
      </c>
      <c r="E384" s="51">
        <f t="shared" si="208"/>
        <v>0</v>
      </c>
      <c r="F384" s="10">
        <f t="shared" si="170"/>
        <v>605</v>
      </c>
      <c r="G384" s="10">
        <f>SUM(H384:S384)</f>
        <v>605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605</v>
      </c>
      <c r="O384" s="10"/>
      <c r="P384" s="10"/>
      <c r="Q384" s="10">
        <v>0</v>
      </c>
      <c r="R384" s="10">
        <v>0</v>
      </c>
      <c r="S384" s="10">
        <v>0</v>
      </c>
      <c r="T384" s="7">
        <f t="shared" si="188"/>
        <v>605</v>
      </c>
      <c r="U384" s="8">
        <f t="shared" si="196"/>
        <v>0</v>
      </c>
      <c r="V384" s="8"/>
      <c r="Z384" s="10">
        <v>1840.61</v>
      </c>
      <c r="AA384" s="8">
        <f t="shared" si="205"/>
        <v>1235.6099999999999</v>
      </c>
      <c r="AG384" s="10">
        <f>1787*1.03</f>
        <v>1840.6100000000001</v>
      </c>
      <c r="AH384" s="61">
        <f t="shared" si="181"/>
        <v>1235.6100000000001</v>
      </c>
      <c r="AI384" s="8">
        <f>+G384</f>
        <v>605</v>
      </c>
    </row>
    <row r="385" spans="2:35" ht="9.75" customHeight="1" x14ac:dyDescent="0.25">
      <c r="B385" s="64" t="s">
        <v>747</v>
      </c>
      <c r="C385" s="64" t="s">
        <v>748</v>
      </c>
      <c r="D385" s="64" t="s">
        <v>720</v>
      </c>
      <c r="E385" s="51">
        <f t="shared" si="208"/>
        <v>0</v>
      </c>
      <c r="F385" s="10">
        <f t="shared" si="170"/>
        <v>504</v>
      </c>
      <c r="G385" s="10">
        <f>SUM(H385:S385)</f>
        <v>504</v>
      </c>
      <c r="H385" s="10">
        <v>0</v>
      </c>
      <c r="I385" s="10">
        <v>0</v>
      </c>
      <c r="J385" s="10">
        <v>0</v>
      </c>
      <c r="K385" s="10">
        <v>0</v>
      </c>
      <c r="L385" s="10">
        <v>504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7">
        <f t="shared" si="188"/>
        <v>504</v>
      </c>
      <c r="U385" s="8">
        <f t="shared" si="196"/>
        <v>0</v>
      </c>
      <c r="V385" s="8"/>
      <c r="Z385" s="10"/>
      <c r="AA385" s="8"/>
      <c r="AG385" s="10">
        <f>735.1*1.03</f>
        <v>757.15300000000002</v>
      </c>
      <c r="AH385" s="61">
        <f t="shared" si="181"/>
        <v>253.15300000000002</v>
      </c>
      <c r="AI385" s="8">
        <f>+G385</f>
        <v>504</v>
      </c>
    </row>
    <row r="386" spans="2:35" ht="25.5" customHeight="1" x14ac:dyDescent="0.25">
      <c r="B386" s="62" t="s">
        <v>749</v>
      </c>
      <c r="C386" s="71" t="s">
        <v>750</v>
      </c>
      <c r="D386" s="71"/>
      <c r="E386" s="51">
        <f t="shared" ref="E386" si="209">SUM(H386:S386)-G386</f>
        <v>0</v>
      </c>
      <c r="F386" s="10"/>
      <c r="G386" s="63">
        <f>SUM(G387:G392)</f>
        <v>113962</v>
      </c>
      <c r="H386" s="63">
        <f t="shared" ref="H386:S386" si="210">SUM(H387:H392)</f>
        <v>16396</v>
      </c>
      <c r="I386" s="63">
        <f t="shared" si="210"/>
        <v>15323</v>
      </c>
      <c r="J386" s="63">
        <f t="shared" si="210"/>
        <v>14670</v>
      </c>
      <c r="K386" s="63">
        <f t="shared" si="210"/>
        <v>8578</v>
      </c>
      <c r="L386" s="63">
        <f t="shared" si="210"/>
        <v>7665</v>
      </c>
      <c r="M386" s="63">
        <f t="shared" si="210"/>
        <v>7451</v>
      </c>
      <c r="N386" s="63">
        <f t="shared" si="210"/>
        <v>9627</v>
      </c>
      <c r="O386" s="63">
        <f t="shared" si="210"/>
        <v>18649</v>
      </c>
      <c r="P386" s="63">
        <f t="shared" si="210"/>
        <v>0</v>
      </c>
      <c r="Q386" s="63">
        <f t="shared" si="210"/>
        <v>5201</v>
      </c>
      <c r="R386" s="63">
        <f t="shared" si="210"/>
        <v>5201</v>
      </c>
      <c r="S386" s="63">
        <f t="shared" si="210"/>
        <v>5201</v>
      </c>
      <c r="T386" s="7">
        <f t="shared" si="188"/>
        <v>113962</v>
      </c>
      <c r="U386" s="8">
        <f t="shared" si="196"/>
        <v>0</v>
      </c>
      <c r="V386" s="8"/>
      <c r="Z386" s="63"/>
      <c r="AA386" s="8"/>
      <c r="AH386" s="61">
        <f t="shared" si="181"/>
        <v>-113962</v>
      </c>
      <c r="AI386" s="8"/>
    </row>
    <row r="387" spans="2:35" ht="9.75" customHeight="1" x14ac:dyDescent="0.25">
      <c r="B387" s="64" t="s">
        <v>751</v>
      </c>
      <c r="C387" s="64" t="s">
        <v>752</v>
      </c>
      <c r="D387" s="64" t="s">
        <v>720</v>
      </c>
      <c r="E387" s="51">
        <f t="shared" si="208"/>
        <v>0</v>
      </c>
      <c r="F387" s="10">
        <f t="shared" si="170"/>
        <v>97076</v>
      </c>
      <c r="G387" s="10">
        <f t="shared" ref="G387:G392" si="211">SUM(H387:S387)</f>
        <v>97076</v>
      </c>
      <c r="H387" s="10">
        <v>13066</v>
      </c>
      <c r="I387" s="10">
        <v>10011</v>
      </c>
      <c r="J387" s="10">
        <v>12847</v>
      </c>
      <c r="K387" s="10">
        <v>7722</v>
      </c>
      <c r="L387" s="10">
        <v>6696</v>
      </c>
      <c r="M387" s="10">
        <v>7128</v>
      </c>
      <c r="N387" s="10">
        <v>8316</v>
      </c>
      <c r="O387" s="10">
        <v>17766</v>
      </c>
      <c r="P387" s="10">
        <v>0</v>
      </c>
      <c r="Q387" s="10">
        <v>4508</v>
      </c>
      <c r="R387" s="10">
        <v>4508</v>
      </c>
      <c r="S387" s="10">
        <v>4508</v>
      </c>
      <c r="T387" s="7">
        <f t="shared" si="188"/>
        <v>97076</v>
      </c>
      <c r="U387" s="8">
        <f t="shared" si="196"/>
        <v>0</v>
      </c>
      <c r="V387" s="8"/>
      <c r="Z387" s="10"/>
      <c r="AA387" s="8"/>
      <c r="AG387" s="10">
        <f>123606.4*1.03</f>
        <v>127314.592</v>
      </c>
      <c r="AH387" s="61">
        <f t="shared" si="181"/>
        <v>30238.592000000004</v>
      </c>
      <c r="AI387" s="8">
        <f>+G387</f>
        <v>97076</v>
      </c>
    </row>
    <row r="388" spans="2:35" ht="9.75" customHeight="1" x14ac:dyDescent="0.25">
      <c r="B388" s="64" t="s">
        <v>753</v>
      </c>
      <c r="C388" s="64" t="s">
        <v>754</v>
      </c>
      <c r="D388" s="64" t="s">
        <v>720</v>
      </c>
      <c r="E388" s="51">
        <f t="shared" si="208"/>
        <v>0</v>
      </c>
      <c r="F388" s="10">
        <f t="shared" si="170"/>
        <v>3700</v>
      </c>
      <c r="G388" s="10">
        <f t="shared" si="211"/>
        <v>3700</v>
      </c>
      <c r="H388" s="10">
        <v>1313</v>
      </c>
      <c r="I388" s="10">
        <v>505</v>
      </c>
      <c r="J388" s="10">
        <v>622</v>
      </c>
      <c r="K388" s="10">
        <v>420</v>
      </c>
      <c r="L388" s="10">
        <v>315</v>
      </c>
      <c r="M388" s="10">
        <v>105</v>
      </c>
      <c r="N388" s="10">
        <v>105</v>
      </c>
      <c r="O388" s="10">
        <v>315</v>
      </c>
      <c r="P388" s="10">
        <v>0</v>
      </c>
      <c r="Q388" s="10">
        <v>0</v>
      </c>
      <c r="R388" s="10">
        <v>0</v>
      </c>
      <c r="S388" s="10">
        <v>0</v>
      </c>
      <c r="T388" s="7">
        <f t="shared" si="188"/>
        <v>3700</v>
      </c>
      <c r="U388" s="8">
        <f t="shared" si="196"/>
        <v>0</v>
      </c>
      <c r="V388" s="8"/>
      <c r="Z388" s="10"/>
      <c r="AA388" s="8"/>
      <c r="AG388" s="10">
        <f>3524.4*1.03</f>
        <v>3630.1320000000001</v>
      </c>
      <c r="AH388" s="61">
        <f t="shared" si="181"/>
        <v>-69.867999999999938</v>
      </c>
      <c r="AI388" s="8">
        <f>+G388</f>
        <v>3700</v>
      </c>
    </row>
    <row r="389" spans="2:35" ht="9.75" customHeight="1" x14ac:dyDescent="0.25">
      <c r="B389" s="64" t="s">
        <v>755</v>
      </c>
      <c r="C389" s="64" t="s">
        <v>756</v>
      </c>
      <c r="D389" s="64"/>
      <c r="F389" s="10"/>
      <c r="G389" s="10">
        <f t="shared" si="211"/>
        <v>465</v>
      </c>
      <c r="H389" s="10">
        <v>345</v>
      </c>
      <c r="I389" s="10">
        <v>0</v>
      </c>
      <c r="J389" s="10">
        <v>120</v>
      </c>
      <c r="K389" s="10">
        <v>0</v>
      </c>
      <c r="L389" s="10">
        <v>0</v>
      </c>
      <c r="M389" s="10">
        <v>0</v>
      </c>
      <c r="N389" s="10"/>
      <c r="O389" s="10"/>
      <c r="P389" s="10"/>
      <c r="Q389" s="10"/>
      <c r="R389" s="10"/>
      <c r="S389" s="10"/>
      <c r="T389" s="7">
        <f t="shared" si="188"/>
        <v>465</v>
      </c>
      <c r="U389" s="8">
        <f t="shared" si="196"/>
        <v>0</v>
      </c>
      <c r="V389" s="8"/>
      <c r="Z389" s="10"/>
      <c r="AA389" s="8"/>
      <c r="AI389" s="8"/>
    </row>
    <row r="390" spans="2:35" ht="9.75" customHeight="1" x14ac:dyDescent="0.25">
      <c r="B390" s="64" t="s">
        <v>757</v>
      </c>
      <c r="C390" s="64" t="s">
        <v>758</v>
      </c>
      <c r="D390" s="64" t="s">
        <v>720</v>
      </c>
      <c r="E390" s="51">
        <f t="shared" si="208"/>
        <v>0</v>
      </c>
      <c r="F390" s="10">
        <f t="shared" si="170"/>
        <v>11322</v>
      </c>
      <c r="G390" s="10">
        <f t="shared" si="211"/>
        <v>11322</v>
      </c>
      <c r="H390" s="10">
        <v>1672</v>
      </c>
      <c r="I390" s="10">
        <v>4807</v>
      </c>
      <c r="J390" s="10">
        <v>1081</v>
      </c>
      <c r="K390" s="10">
        <v>436</v>
      </c>
      <c r="L390" s="10">
        <v>654</v>
      </c>
      <c r="M390" s="10">
        <v>218</v>
      </c>
      <c r="N390" s="10">
        <v>436</v>
      </c>
      <c r="O390" s="10">
        <v>218</v>
      </c>
      <c r="P390" s="10">
        <v>0</v>
      </c>
      <c r="Q390" s="10">
        <v>600</v>
      </c>
      <c r="R390" s="10">
        <v>600</v>
      </c>
      <c r="S390" s="10">
        <v>600</v>
      </c>
      <c r="T390" s="7">
        <f t="shared" si="188"/>
        <v>11322</v>
      </c>
      <c r="U390" s="8">
        <f t="shared" si="196"/>
        <v>0</v>
      </c>
      <c r="V390" s="8"/>
      <c r="Z390" s="10"/>
      <c r="AA390" s="8"/>
      <c r="AG390" s="10">
        <f>13849.6*1.03</f>
        <v>14265.088000000002</v>
      </c>
      <c r="AH390" s="61">
        <f t="shared" si="181"/>
        <v>2943.0880000000016</v>
      </c>
      <c r="AI390" s="8">
        <f>+G390</f>
        <v>11322</v>
      </c>
    </row>
    <row r="391" spans="2:35" ht="9.75" customHeight="1" x14ac:dyDescent="0.25">
      <c r="B391" s="64" t="s">
        <v>759</v>
      </c>
      <c r="C391" s="64" t="s">
        <v>760</v>
      </c>
      <c r="D391" s="64" t="s">
        <v>720</v>
      </c>
      <c r="E391" s="51">
        <f t="shared" si="208"/>
        <v>0</v>
      </c>
      <c r="F391" s="10">
        <f t="shared" ref="F391:F507" si="212">+G391</f>
        <v>1120</v>
      </c>
      <c r="G391" s="10">
        <f t="shared" si="211"/>
        <v>1120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  <c r="M391" s="10">
        <v>0</v>
      </c>
      <c r="N391" s="10">
        <v>770</v>
      </c>
      <c r="O391" s="10">
        <v>350</v>
      </c>
      <c r="P391" s="10"/>
      <c r="Q391" s="10">
        <v>0</v>
      </c>
      <c r="R391" s="10">
        <v>0</v>
      </c>
      <c r="S391" s="10">
        <v>0</v>
      </c>
      <c r="T391" s="7">
        <f t="shared" si="188"/>
        <v>1120</v>
      </c>
      <c r="U391" s="8">
        <f t="shared" si="196"/>
        <v>0</v>
      </c>
      <c r="V391" s="8"/>
      <c r="Z391" s="10">
        <v>0</v>
      </c>
      <c r="AA391" s="8">
        <f t="shared" si="205"/>
        <v>-1120</v>
      </c>
      <c r="AH391" s="61">
        <f t="shared" si="181"/>
        <v>-1120</v>
      </c>
      <c r="AI391" s="8">
        <f>+G391</f>
        <v>1120</v>
      </c>
    </row>
    <row r="392" spans="2:35" ht="9.75" customHeight="1" x14ac:dyDescent="0.25">
      <c r="B392" s="64" t="s">
        <v>761</v>
      </c>
      <c r="C392" s="64" t="s">
        <v>762</v>
      </c>
      <c r="D392" s="64" t="s">
        <v>720</v>
      </c>
      <c r="E392" s="51">
        <f>+F392-G392</f>
        <v>0</v>
      </c>
      <c r="F392" s="10">
        <f t="shared" si="212"/>
        <v>279</v>
      </c>
      <c r="G392" s="10">
        <f t="shared" si="211"/>
        <v>279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/>
      <c r="O392" s="10"/>
      <c r="P392" s="10">
        <v>0</v>
      </c>
      <c r="Q392" s="10">
        <v>93</v>
      </c>
      <c r="R392" s="10">
        <v>93</v>
      </c>
      <c r="S392" s="10">
        <v>93</v>
      </c>
      <c r="T392" s="7">
        <f t="shared" si="188"/>
        <v>279</v>
      </c>
      <c r="U392" s="8">
        <f t="shared" si="196"/>
        <v>0</v>
      </c>
      <c r="V392" s="8"/>
      <c r="Z392" s="10"/>
      <c r="AA392" s="8"/>
      <c r="AG392" s="10">
        <f>8848*1.03</f>
        <v>9113.44</v>
      </c>
      <c r="AH392" s="61">
        <f t="shared" ref="AH392:AH461" si="213">+AG392-G392</f>
        <v>8834.44</v>
      </c>
      <c r="AI392" s="8">
        <f>+G392</f>
        <v>279</v>
      </c>
    </row>
    <row r="393" spans="2:35" ht="9.75" customHeight="1" x14ac:dyDescent="0.25">
      <c r="B393" s="62" t="s">
        <v>763</v>
      </c>
      <c r="C393" s="62" t="s">
        <v>764</v>
      </c>
      <c r="D393" s="62"/>
      <c r="E393" s="51">
        <f t="shared" ref="E393" si="214">SUM(H393:S393)-G393</f>
        <v>0</v>
      </c>
      <c r="F393" s="10"/>
      <c r="G393" s="63">
        <f>+G394+G395</f>
        <v>3743.4400000000005</v>
      </c>
      <c r="H393" s="63">
        <f t="shared" ref="H393:S393" si="215">+H394+H395</f>
        <v>0</v>
      </c>
      <c r="I393" s="63">
        <f t="shared" si="215"/>
        <v>0</v>
      </c>
      <c r="J393" s="63">
        <f t="shared" si="215"/>
        <v>0</v>
      </c>
      <c r="K393" s="63">
        <f t="shared" si="215"/>
        <v>0</v>
      </c>
      <c r="L393" s="63">
        <f t="shared" si="215"/>
        <v>0</v>
      </c>
      <c r="M393" s="63">
        <f t="shared" si="215"/>
        <v>0</v>
      </c>
      <c r="N393" s="63">
        <f t="shared" si="215"/>
        <v>3270.5800000000004</v>
      </c>
      <c r="O393" s="63">
        <f t="shared" si="215"/>
        <v>472.85999999999996</v>
      </c>
      <c r="P393" s="63">
        <f t="shared" si="215"/>
        <v>0</v>
      </c>
      <c r="Q393" s="63">
        <f t="shared" si="215"/>
        <v>0</v>
      </c>
      <c r="R393" s="63">
        <f t="shared" si="215"/>
        <v>0</v>
      </c>
      <c r="S393" s="63">
        <f t="shared" si="215"/>
        <v>0</v>
      </c>
      <c r="T393" s="7">
        <f t="shared" si="188"/>
        <v>3743.4400000000005</v>
      </c>
      <c r="U393" s="8">
        <f t="shared" si="196"/>
        <v>0</v>
      </c>
      <c r="V393" s="8"/>
      <c r="W393" s="63"/>
      <c r="X393" s="63"/>
      <c r="Y393" s="63"/>
      <c r="Z393" s="63">
        <f t="shared" ref="Z393" si="216">+Z394</f>
        <v>4349.38</v>
      </c>
      <c r="AA393" s="8">
        <f t="shared" ref="AA393:AA394" si="217">+Z393-G393</f>
        <v>605.9399999999996</v>
      </c>
      <c r="AB393" s="63"/>
      <c r="AC393" s="63"/>
      <c r="AD393" s="63"/>
      <c r="AE393" s="63"/>
      <c r="AF393" s="63"/>
      <c r="AH393" s="61">
        <f t="shared" si="213"/>
        <v>-3743.4400000000005</v>
      </c>
      <c r="AI393" s="8"/>
    </row>
    <row r="394" spans="2:35" ht="9.75" customHeight="1" x14ac:dyDescent="0.25">
      <c r="B394" s="64" t="s">
        <v>765</v>
      </c>
      <c r="C394" s="64" t="s">
        <v>766</v>
      </c>
      <c r="D394" s="64" t="s">
        <v>132</v>
      </c>
      <c r="E394" s="51">
        <f t="shared" si="208"/>
        <v>0</v>
      </c>
      <c r="F394" s="10">
        <f t="shared" ref="F394:F395" si="218">+G394</f>
        <v>3743.4400000000005</v>
      </c>
      <c r="G394" s="10">
        <f>SUM(H394:S394)</f>
        <v>3743.4400000000005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  <c r="M394" s="10">
        <v>0</v>
      </c>
      <c r="N394" s="10">
        <f>2999.92+73.8+196.86</f>
        <v>3270.5800000000004</v>
      </c>
      <c r="O394" s="10">
        <f>434.4+38.46</f>
        <v>472.85999999999996</v>
      </c>
      <c r="P394" s="10">
        <v>0</v>
      </c>
      <c r="Q394" s="10">
        <v>0</v>
      </c>
      <c r="R394" s="10">
        <v>0</v>
      </c>
      <c r="S394" s="10">
        <v>0</v>
      </c>
      <c r="T394" s="7">
        <f t="shared" si="188"/>
        <v>3743.4400000000005</v>
      </c>
      <c r="U394" s="8">
        <f t="shared" si="196"/>
        <v>0</v>
      </c>
      <c r="V394" s="8"/>
      <c r="Z394" s="10">
        <v>4349.38</v>
      </c>
      <c r="AA394" s="8">
        <f t="shared" si="217"/>
        <v>605.9399999999996</v>
      </c>
      <c r="AG394" s="10">
        <f>4222.7*1.03</f>
        <v>4349.3810000000003</v>
      </c>
      <c r="AH394" s="61">
        <f t="shared" si="213"/>
        <v>605.9409999999998</v>
      </c>
      <c r="AI394" s="8">
        <f>+G394</f>
        <v>3743.4400000000005</v>
      </c>
    </row>
    <row r="395" spans="2:35" ht="9.75" customHeight="1" x14ac:dyDescent="0.25">
      <c r="B395" s="64" t="s">
        <v>767</v>
      </c>
      <c r="C395" s="64" t="s">
        <v>768</v>
      </c>
      <c r="D395" s="64" t="s">
        <v>132</v>
      </c>
      <c r="E395" s="51">
        <f t="shared" si="208"/>
        <v>0</v>
      </c>
      <c r="F395" s="10">
        <f t="shared" si="218"/>
        <v>0</v>
      </c>
      <c r="G395" s="10">
        <f>SUM(H395:S395)</f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10">
        <v>0</v>
      </c>
      <c r="S395" s="10">
        <v>0</v>
      </c>
      <c r="T395" s="7">
        <f t="shared" si="188"/>
        <v>0</v>
      </c>
      <c r="U395" s="8">
        <f t="shared" si="196"/>
        <v>0</v>
      </c>
      <c r="V395" s="8"/>
      <c r="Z395" s="10"/>
      <c r="AA395" s="8"/>
      <c r="AI395" s="8"/>
    </row>
    <row r="396" spans="2:35" ht="32.25" customHeight="1" x14ac:dyDescent="0.25">
      <c r="B396" s="62" t="s">
        <v>769</v>
      </c>
      <c r="C396" s="71" t="s">
        <v>770</v>
      </c>
      <c r="D396" s="71"/>
      <c r="E396" s="51">
        <f t="shared" ref="E396" si="219">SUM(H396:S396)-G396</f>
        <v>0</v>
      </c>
      <c r="F396" s="10"/>
      <c r="G396" s="63">
        <f>SUM(G397:G400)</f>
        <v>0</v>
      </c>
      <c r="H396" s="63">
        <f t="shared" ref="H396:S396" si="220">SUM(H397:H400)</f>
        <v>0</v>
      </c>
      <c r="I396" s="63">
        <f t="shared" si="220"/>
        <v>0</v>
      </c>
      <c r="J396" s="63">
        <f t="shared" si="220"/>
        <v>0</v>
      </c>
      <c r="K396" s="63">
        <f t="shared" si="220"/>
        <v>0</v>
      </c>
      <c r="L396" s="63">
        <f t="shared" si="220"/>
        <v>0</v>
      </c>
      <c r="M396" s="63">
        <f t="shared" si="220"/>
        <v>0</v>
      </c>
      <c r="N396" s="63">
        <f t="shared" si="220"/>
        <v>0</v>
      </c>
      <c r="O396" s="63">
        <f t="shared" si="220"/>
        <v>0</v>
      </c>
      <c r="P396" s="63">
        <f t="shared" si="220"/>
        <v>0</v>
      </c>
      <c r="Q396" s="63">
        <f t="shared" si="220"/>
        <v>0</v>
      </c>
      <c r="R396" s="63">
        <f t="shared" si="220"/>
        <v>0</v>
      </c>
      <c r="S396" s="63">
        <f t="shared" si="220"/>
        <v>0</v>
      </c>
      <c r="T396" s="7">
        <f t="shared" si="188"/>
        <v>0</v>
      </c>
      <c r="U396" s="8">
        <f t="shared" si="196"/>
        <v>0</v>
      </c>
      <c r="V396" s="8"/>
      <c r="W396" s="63"/>
      <c r="X396" s="63"/>
      <c r="Y396" s="63"/>
      <c r="Z396" s="63">
        <f t="shared" ref="Z396" si="221">+Z397</f>
        <v>4349.38</v>
      </c>
      <c r="AA396" s="8">
        <f t="shared" si="205"/>
        <v>4349.38</v>
      </c>
      <c r="AB396" s="63"/>
      <c r="AC396" s="63"/>
      <c r="AD396" s="63"/>
      <c r="AE396" s="63"/>
      <c r="AF396" s="63"/>
      <c r="AH396" s="61">
        <f t="shared" si="213"/>
        <v>0</v>
      </c>
      <c r="AI396" s="8"/>
    </row>
    <row r="397" spans="2:35" ht="9.75" customHeight="1" x14ac:dyDescent="0.25">
      <c r="B397" s="64" t="s">
        <v>771</v>
      </c>
      <c r="C397" s="64" t="s">
        <v>772</v>
      </c>
      <c r="D397" s="64" t="s">
        <v>30</v>
      </c>
      <c r="E397" s="51">
        <f t="shared" si="208"/>
        <v>0</v>
      </c>
      <c r="F397" s="10">
        <f t="shared" si="212"/>
        <v>0</v>
      </c>
      <c r="G397" s="10">
        <f>SUM(H397:S397)</f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7">
        <f t="shared" si="188"/>
        <v>0</v>
      </c>
      <c r="U397" s="8">
        <f t="shared" si="196"/>
        <v>0</v>
      </c>
      <c r="V397" s="8"/>
      <c r="Z397" s="10">
        <v>4349.38</v>
      </c>
      <c r="AA397" s="8">
        <f t="shared" si="205"/>
        <v>4349.38</v>
      </c>
      <c r="AG397" s="10">
        <f>4222.7*1.03</f>
        <v>4349.3810000000003</v>
      </c>
      <c r="AH397" s="61">
        <f t="shared" si="213"/>
        <v>4349.3810000000003</v>
      </c>
      <c r="AI397" s="8">
        <f>+G397</f>
        <v>0</v>
      </c>
    </row>
    <row r="398" spans="2:35" ht="9.75" customHeight="1" x14ac:dyDescent="0.25">
      <c r="B398" s="64" t="s">
        <v>773</v>
      </c>
      <c r="C398" s="64" t="s">
        <v>774</v>
      </c>
      <c r="D398" s="64" t="s">
        <v>30</v>
      </c>
      <c r="E398" s="51">
        <f t="shared" si="208"/>
        <v>0</v>
      </c>
      <c r="F398" s="10">
        <f t="shared" si="212"/>
        <v>0</v>
      </c>
      <c r="G398" s="10">
        <f t="shared" ref="G398:G400" si="222">SUM(H398:S398)</f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7">
        <f t="shared" si="188"/>
        <v>0</v>
      </c>
      <c r="U398" s="8">
        <f t="shared" si="196"/>
        <v>0</v>
      </c>
      <c r="V398" s="8"/>
      <c r="Z398" s="10"/>
      <c r="AA398" s="8"/>
      <c r="AI398" s="8"/>
    </row>
    <row r="399" spans="2:35" ht="9.75" customHeight="1" x14ac:dyDescent="0.25">
      <c r="B399" s="64" t="s">
        <v>765</v>
      </c>
      <c r="C399" s="64" t="s">
        <v>775</v>
      </c>
      <c r="D399" s="64" t="s">
        <v>30</v>
      </c>
      <c r="F399" s="10">
        <f t="shared" si="212"/>
        <v>0</v>
      </c>
      <c r="G399" s="10">
        <f t="shared" si="222"/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7">
        <f t="shared" si="188"/>
        <v>0</v>
      </c>
      <c r="U399" s="8">
        <f t="shared" si="196"/>
        <v>0</v>
      </c>
      <c r="V399" s="8"/>
      <c r="Z399" s="10"/>
      <c r="AA399" s="8"/>
      <c r="AI399" s="8"/>
    </row>
    <row r="400" spans="2:35" ht="9.75" customHeight="1" x14ac:dyDescent="0.25">
      <c r="B400" s="64" t="s">
        <v>776</v>
      </c>
      <c r="C400" s="64" t="s">
        <v>777</v>
      </c>
      <c r="D400" s="64" t="s">
        <v>30</v>
      </c>
      <c r="F400" s="10">
        <f t="shared" si="212"/>
        <v>0</v>
      </c>
      <c r="G400" s="10">
        <f t="shared" si="222"/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7">
        <f t="shared" si="188"/>
        <v>0</v>
      </c>
      <c r="U400" s="8">
        <f t="shared" si="196"/>
        <v>0</v>
      </c>
      <c r="V400" s="8"/>
      <c r="Z400" s="10"/>
      <c r="AA400" s="8"/>
      <c r="AI400" s="8"/>
    </row>
    <row r="401" spans="2:35" ht="9.75" customHeight="1" x14ac:dyDescent="0.25">
      <c r="B401" s="62" t="s">
        <v>778</v>
      </c>
      <c r="C401" s="62" t="s">
        <v>569</v>
      </c>
      <c r="D401" s="62"/>
      <c r="E401" s="51">
        <f t="shared" ref="E401" si="223">SUM(H401:S401)-G401</f>
        <v>0</v>
      </c>
      <c r="F401" s="10"/>
      <c r="G401" s="63">
        <f>SUM(G402:G403)</f>
        <v>129564.84999999999</v>
      </c>
      <c r="H401" s="63">
        <f t="shared" ref="H401:S401" si="224">SUM(H402:H403)</f>
        <v>13445.28</v>
      </c>
      <c r="I401" s="63">
        <f t="shared" si="224"/>
        <v>15568.1</v>
      </c>
      <c r="J401" s="63">
        <f t="shared" si="224"/>
        <v>35806.629999999997</v>
      </c>
      <c r="K401" s="63">
        <f t="shared" si="224"/>
        <v>10897.67</v>
      </c>
      <c r="L401" s="63">
        <f t="shared" si="224"/>
        <v>26465.77</v>
      </c>
      <c r="M401" s="63">
        <f t="shared" si="224"/>
        <v>18681.72</v>
      </c>
      <c r="N401" s="63">
        <f t="shared" si="224"/>
        <v>0</v>
      </c>
      <c r="O401" s="63">
        <f t="shared" si="224"/>
        <v>0</v>
      </c>
      <c r="P401" s="63">
        <f t="shared" si="224"/>
        <v>8699.68</v>
      </c>
      <c r="Q401" s="63">
        <f t="shared" si="224"/>
        <v>0</v>
      </c>
      <c r="R401" s="63">
        <f t="shared" si="224"/>
        <v>0</v>
      </c>
      <c r="S401" s="63">
        <f t="shared" si="224"/>
        <v>0</v>
      </c>
      <c r="T401" s="7">
        <f t="shared" si="188"/>
        <v>129564.85</v>
      </c>
      <c r="U401" s="8">
        <f t="shared" si="196"/>
        <v>0</v>
      </c>
      <c r="V401" s="8"/>
      <c r="Z401" s="63"/>
      <c r="AA401" s="8"/>
      <c r="AH401" s="61">
        <f t="shared" si="213"/>
        <v>-129564.84999999999</v>
      </c>
      <c r="AI401" s="8"/>
    </row>
    <row r="402" spans="2:35" ht="9.75" customHeight="1" x14ac:dyDescent="0.25">
      <c r="B402" s="64" t="s">
        <v>779</v>
      </c>
      <c r="C402" s="64" t="s">
        <v>780</v>
      </c>
      <c r="D402" s="62"/>
      <c r="E402" s="51">
        <f t="shared" ref="E402:E419" si="225">+F402-G402</f>
        <v>0</v>
      </c>
      <c r="F402" s="10">
        <f t="shared" si="212"/>
        <v>6227.24</v>
      </c>
      <c r="G402" s="10">
        <f>SUM(H402:S402)</f>
        <v>6227.24</v>
      </c>
      <c r="H402" s="10">
        <v>0</v>
      </c>
      <c r="I402" s="10">
        <v>1556.81</v>
      </c>
      <c r="J402" s="10">
        <v>0</v>
      </c>
      <c r="K402" s="10">
        <v>0</v>
      </c>
      <c r="L402" s="10">
        <v>3113.62</v>
      </c>
      <c r="M402" s="10">
        <v>1556.81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7">
        <f t="shared" si="188"/>
        <v>6227.24</v>
      </c>
      <c r="U402" s="8">
        <f t="shared" si="196"/>
        <v>0</v>
      </c>
      <c r="V402" s="8"/>
      <c r="Z402" s="10">
        <v>3595.38</v>
      </c>
      <c r="AA402" s="8">
        <f t="shared" si="205"/>
        <v>-2631.8599999999997</v>
      </c>
      <c r="AG402" s="10">
        <f>3490.66*1.03</f>
        <v>3595.3798000000002</v>
      </c>
      <c r="AH402" s="61">
        <f t="shared" si="213"/>
        <v>-2631.8601999999996</v>
      </c>
      <c r="AI402" s="8">
        <f>+G402</f>
        <v>6227.24</v>
      </c>
    </row>
    <row r="403" spans="2:35" ht="9.75" customHeight="1" x14ac:dyDescent="0.25">
      <c r="B403" s="64" t="s">
        <v>781</v>
      </c>
      <c r="C403" s="64" t="s">
        <v>782</v>
      </c>
      <c r="D403" s="64" t="s">
        <v>58</v>
      </c>
      <c r="E403" s="51">
        <f t="shared" si="225"/>
        <v>0</v>
      </c>
      <c r="F403" s="10">
        <f t="shared" si="212"/>
        <v>123337.60999999999</v>
      </c>
      <c r="G403" s="10">
        <f>SUM(H403:S403)</f>
        <v>123337.60999999999</v>
      </c>
      <c r="H403" s="10">
        <v>13445.28</v>
      </c>
      <c r="I403" s="10">
        <v>14011.29</v>
      </c>
      <c r="J403" s="10">
        <v>35806.629999999997</v>
      </c>
      <c r="K403" s="10">
        <v>10897.67</v>
      </c>
      <c r="L403" s="10">
        <v>23352.15</v>
      </c>
      <c r="M403" s="10">
        <v>17124.91</v>
      </c>
      <c r="N403" s="10"/>
      <c r="O403" s="10"/>
      <c r="P403" s="10">
        <v>8699.68</v>
      </c>
      <c r="Q403" s="10">
        <v>0</v>
      </c>
      <c r="R403" s="10">
        <v>0</v>
      </c>
      <c r="S403" s="10">
        <v>0</v>
      </c>
      <c r="T403" s="7">
        <f t="shared" si="188"/>
        <v>123337.60999999999</v>
      </c>
      <c r="U403" s="8">
        <f t="shared" si="196"/>
        <v>0</v>
      </c>
      <c r="V403" s="8"/>
      <c r="Z403" s="10"/>
      <c r="AA403" s="8"/>
      <c r="AG403" s="10">
        <f>2815.5*1.03</f>
        <v>2899.9650000000001</v>
      </c>
      <c r="AH403" s="61">
        <f t="shared" si="213"/>
        <v>-120437.64499999999</v>
      </c>
      <c r="AI403" s="8">
        <f>+G403</f>
        <v>123337.60999999999</v>
      </c>
    </row>
    <row r="404" spans="2:35" ht="9.75" customHeight="1" x14ac:dyDescent="0.25">
      <c r="B404" s="62" t="s">
        <v>783</v>
      </c>
      <c r="C404" s="62" t="s">
        <v>784</v>
      </c>
      <c r="D404" s="62"/>
      <c r="E404" s="51">
        <f t="shared" ref="E404" si="226">SUM(H404:S404)-G404</f>
        <v>0</v>
      </c>
      <c r="F404" s="10"/>
      <c r="G404" s="63">
        <f>SUM(G405:G416)</f>
        <v>11583.281000000001</v>
      </c>
      <c r="H404" s="63">
        <f>SUM(H405:H416)</f>
        <v>11583.281000000001</v>
      </c>
      <c r="I404" s="63">
        <f t="shared" ref="I404:S404" si="227">SUM(I405:I416)</f>
        <v>0</v>
      </c>
      <c r="J404" s="63">
        <f t="shared" si="227"/>
        <v>0</v>
      </c>
      <c r="K404" s="63">
        <f t="shared" si="227"/>
        <v>0</v>
      </c>
      <c r="L404" s="63">
        <f t="shared" si="227"/>
        <v>0</v>
      </c>
      <c r="M404" s="63">
        <f t="shared" si="227"/>
        <v>0</v>
      </c>
      <c r="N404" s="63">
        <f t="shared" si="227"/>
        <v>0</v>
      </c>
      <c r="O404" s="63">
        <f t="shared" si="227"/>
        <v>0</v>
      </c>
      <c r="P404" s="63">
        <f t="shared" si="227"/>
        <v>0</v>
      </c>
      <c r="Q404" s="63">
        <f t="shared" si="227"/>
        <v>0</v>
      </c>
      <c r="R404" s="63">
        <f t="shared" si="227"/>
        <v>0</v>
      </c>
      <c r="S404" s="63">
        <f t="shared" si="227"/>
        <v>0</v>
      </c>
      <c r="T404" s="7">
        <f t="shared" si="188"/>
        <v>11583.281000000001</v>
      </c>
      <c r="U404" s="8">
        <f t="shared" si="196"/>
        <v>0</v>
      </c>
      <c r="V404" s="8"/>
      <c r="Z404" s="63"/>
      <c r="AA404" s="8"/>
      <c r="AH404" s="61">
        <f t="shared" si="213"/>
        <v>-11583.281000000001</v>
      </c>
      <c r="AI404" s="8"/>
    </row>
    <row r="405" spans="2:35" ht="9.75" customHeight="1" x14ac:dyDescent="0.25">
      <c r="B405" s="64" t="s">
        <v>785</v>
      </c>
      <c r="C405" s="64" t="s">
        <v>786</v>
      </c>
      <c r="D405" s="62"/>
      <c r="E405" s="51">
        <f t="shared" ref="E405:E406" si="228">+F405-G405</f>
        <v>0</v>
      </c>
      <c r="F405" s="10">
        <f t="shared" ref="F405:F416" si="229">+G405</f>
        <v>357.52</v>
      </c>
      <c r="G405" s="10">
        <f t="shared" ref="G405:G416" si="230">SUM(H405:S405)</f>
        <v>357.52</v>
      </c>
      <c r="H405" s="10">
        <v>357.52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0</v>
      </c>
      <c r="R405" s="10">
        <v>0</v>
      </c>
      <c r="S405" s="10">
        <v>0</v>
      </c>
      <c r="T405" s="7">
        <f t="shared" si="188"/>
        <v>357.52</v>
      </c>
      <c r="U405" s="8">
        <f t="shared" si="196"/>
        <v>0</v>
      </c>
      <c r="V405" s="8"/>
      <c r="Z405" s="10">
        <v>3595.38</v>
      </c>
      <c r="AA405" s="8">
        <f t="shared" ref="AA405" si="231">+Z405-G405</f>
        <v>3237.86</v>
      </c>
      <c r="AG405" s="10">
        <f>3490.66*1.03</f>
        <v>3595.3798000000002</v>
      </c>
      <c r="AH405" s="61">
        <f t="shared" si="213"/>
        <v>3237.8598000000002</v>
      </c>
      <c r="AI405" s="8">
        <f>+G405</f>
        <v>357.52</v>
      </c>
    </row>
    <row r="406" spans="2:35" ht="9.75" customHeight="1" x14ac:dyDescent="0.25">
      <c r="B406" s="64" t="s">
        <v>787</v>
      </c>
      <c r="C406" s="64" t="s">
        <v>788</v>
      </c>
      <c r="D406" s="64" t="s">
        <v>58</v>
      </c>
      <c r="E406" s="51">
        <f t="shared" si="228"/>
        <v>0</v>
      </c>
      <c r="F406" s="10">
        <f t="shared" si="229"/>
        <v>1352.02</v>
      </c>
      <c r="G406" s="10">
        <f t="shared" si="230"/>
        <v>1352.02</v>
      </c>
      <c r="H406" s="10">
        <v>1352.02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7">
        <f t="shared" si="188"/>
        <v>1352.02</v>
      </c>
      <c r="U406" s="8">
        <f t="shared" si="196"/>
        <v>0</v>
      </c>
      <c r="V406" s="8"/>
      <c r="Z406" s="10"/>
      <c r="AA406" s="8"/>
      <c r="AG406" s="10">
        <f>2815.5*1.03</f>
        <v>2899.9650000000001</v>
      </c>
      <c r="AH406" s="61">
        <f t="shared" si="213"/>
        <v>1547.9450000000002</v>
      </c>
      <c r="AI406" s="8">
        <f>+G406</f>
        <v>1352.02</v>
      </c>
    </row>
    <row r="407" spans="2:35" ht="9.75" customHeight="1" x14ac:dyDescent="0.25">
      <c r="B407" s="64" t="s">
        <v>789</v>
      </c>
      <c r="C407" s="64" t="s">
        <v>790</v>
      </c>
      <c r="D407" s="64"/>
      <c r="F407" s="10">
        <f t="shared" si="229"/>
        <v>522.71100000000001</v>
      </c>
      <c r="G407" s="10">
        <f t="shared" si="230"/>
        <v>522.71100000000001</v>
      </c>
      <c r="H407" s="10">
        <v>522.71100000000001</v>
      </c>
      <c r="I407" s="10">
        <v>0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0</v>
      </c>
      <c r="S407" s="10">
        <v>0</v>
      </c>
      <c r="T407" s="7"/>
      <c r="U407" s="8"/>
      <c r="V407" s="8"/>
      <c r="Z407" s="10"/>
      <c r="AA407" s="8"/>
      <c r="AI407" s="8"/>
    </row>
    <row r="408" spans="2:35" ht="13.2" x14ac:dyDescent="0.25">
      <c r="B408" s="64" t="s">
        <v>791</v>
      </c>
      <c r="C408" s="75" t="s">
        <v>792</v>
      </c>
      <c r="D408" s="64"/>
      <c r="F408" s="10">
        <f t="shared" si="229"/>
        <v>452.56</v>
      </c>
      <c r="G408" s="10">
        <f t="shared" si="230"/>
        <v>452.56</v>
      </c>
      <c r="H408" s="10">
        <v>452.56</v>
      </c>
      <c r="I408" s="10">
        <v>0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7"/>
      <c r="U408" s="8"/>
      <c r="V408" s="8"/>
      <c r="Z408" s="10"/>
      <c r="AA408" s="8"/>
      <c r="AI408" s="8"/>
    </row>
    <row r="409" spans="2:35" ht="13.2" x14ac:dyDescent="0.25">
      <c r="B409" s="64" t="s">
        <v>793</v>
      </c>
      <c r="C409" s="75" t="s">
        <v>794</v>
      </c>
      <c r="D409" s="64"/>
      <c r="F409" s="10">
        <f t="shared" si="229"/>
        <v>565.70000000000005</v>
      </c>
      <c r="G409" s="10">
        <f t="shared" si="230"/>
        <v>565.70000000000005</v>
      </c>
      <c r="H409" s="10">
        <v>565.70000000000005</v>
      </c>
      <c r="I409" s="10">
        <v>0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0</v>
      </c>
      <c r="R409" s="10">
        <v>0</v>
      </c>
      <c r="S409" s="10">
        <v>0</v>
      </c>
      <c r="T409" s="7"/>
      <c r="U409" s="8"/>
      <c r="V409" s="8"/>
      <c r="Z409" s="10"/>
      <c r="AA409" s="8"/>
      <c r="AI409" s="8"/>
    </row>
    <row r="410" spans="2:35" ht="10.199999999999999" x14ac:dyDescent="0.25">
      <c r="B410" s="64" t="s">
        <v>795</v>
      </c>
      <c r="C410" s="75" t="s">
        <v>796</v>
      </c>
      <c r="D410" s="64"/>
      <c r="F410" s="10">
        <f t="shared" si="229"/>
        <v>225.15</v>
      </c>
      <c r="G410" s="10">
        <f t="shared" si="230"/>
        <v>225.15</v>
      </c>
      <c r="H410" s="10">
        <v>225.15</v>
      </c>
      <c r="I410" s="10">
        <v>0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0</v>
      </c>
      <c r="R410" s="10">
        <v>0</v>
      </c>
      <c r="S410" s="10">
        <v>0</v>
      </c>
      <c r="T410" s="7"/>
      <c r="U410" s="8"/>
      <c r="V410" s="8"/>
      <c r="Z410" s="10"/>
      <c r="AA410" s="8"/>
      <c r="AI410" s="8"/>
    </row>
    <row r="411" spans="2:35" ht="10.199999999999999" x14ac:dyDescent="0.25">
      <c r="B411" s="64" t="s">
        <v>797</v>
      </c>
      <c r="C411" s="75" t="s">
        <v>798</v>
      </c>
      <c r="D411" s="64"/>
      <c r="F411" s="10">
        <f t="shared" si="229"/>
        <v>143.69</v>
      </c>
      <c r="G411" s="10">
        <f t="shared" si="230"/>
        <v>143.69</v>
      </c>
      <c r="H411" s="10">
        <v>143.69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7"/>
      <c r="U411" s="8"/>
      <c r="V411" s="8"/>
      <c r="Z411" s="10"/>
      <c r="AA411" s="8"/>
      <c r="AI411" s="8"/>
    </row>
    <row r="412" spans="2:35" ht="13.2" x14ac:dyDescent="0.25">
      <c r="B412" s="64" t="s">
        <v>799</v>
      </c>
      <c r="C412" s="75" t="s">
        <v>800</v>
      </c>
      <c r="D412" s="64"/>
      <c r="F412" s="10">
        <f t="shared" si="229"/>
        <v>4525.6000000000004</v>
      </c>
      <c r="G412" s="10">
        <f t="shared" si="230"/>
        <v>4525.6000000000004</v>
      </c>
      <c r="H412" s="10">
        <v>4525.6000000000004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7"/>
      <c r="U412" s="8"/>
      <c r="V412" s="8"/>
      <c r="Z412" s="10"/>
      <c r="AA412" s="8"/>
      <c r="AI412" s="8"/>
    </row>
    <row r="413" spans="2:35" ht="13.2" x14ac:dyDescent="0.25">
      <c r="B413" s="64" t="s">
        <v>801</v>
      </c>
      <c r="C413" s="75" t="s">
        <v>802</v>
      </c>
      <c r="D413" s="64"/>
      <c r="F413" s="10">
        <f t="shared" si="229"/>
        <v>1132.53</v>
      </c>
      <c r="G413" s="10">
        <f t="shared" si="230"/>
        <v>1132.53</v>
      </c>
      <c r="H413" s="10">
        <v>1132.53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7"/>
      <c r="U413" s="8"/>
      <c r="V413" s="8"/>
      <c r="Z413" s="10"/>
      <c r="AA413" s="8"/>
      <c r="AI413" s="8"/>
    </row>
    <row r="414" spans="2:35" ht="13.2" x14ac:dyDescent="0.25">
      <c r="B414" s="64" t="s">
        <v>803</v>
      </c>
      <c r="C414" s="75" t="s">
        <v>804</v>
      </c>
      <c r="D414" s="64"/>
      <c r="F414" s="10">
        <f t="shared" si="229"/>
        <v>122.19</v>
      </c>
      <c r="G414" s="10">
        <f t="shared" si="230"/>
        <v>122.19</v>
      </c>
      <c r="H414" s="10">
        <v>122.19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7"/>
      <c r="U414" s="8"/>
      <c r="V414" s="8"/>
      <c r="Z414" s="10"/>
      <c r="AA414" s="8"/>
      <c r="AI414" s="8"/>
    </row>
    <row r="415" spans="2:35" ht="10.199999999999999" x14ac:dyDescent="0.25">
      <c r="B415" s="64" t="s">
        <v>805</v>
      </c>
      <c r="C415" s="75" t="s">
        <v>806</v>
      </c>
      <c r="D415" s="64"/>
      <c r="F415" s="10">
        <f t="shared" si="229"/>
        <v>1313.56</v>
      </c>
      <c r="G415" s="10">
        <f t="shared" si="230"/>
        <v>1313.56</v>
      </c>
      <c r="H415" s="10">
        <v>1313.56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0</v>
      </c>
      <c r="R415" s="10">
        <v>0</v>
      </c>
      <c r="S415" s="10">
        <v>0</v>
      </c>
      <c r="T415" s="7"/>
      <c r="U415" s="8"/>
      <c r="V415" s="8"/>
      <c r="Z415" s="10"/>
      <c r="AA415" s="8"/>
      <c r="AI415" s="8"/>
    </row>
    <row r="416" spans="2:35" ht="13.2" x14ac:dyDescent="0.25">
      <c r="B416" s="64" t="s">
        <v>807</v>
      </c>
      <c r="C416" s="75" t="s">
        <v>808</v>
      </c>
      <c r="D416" s="64"/>
      <c r="F416" s="10">
        <f t="shared" si="229"/>
        <v>870.05</v>
      </c>
      <c r="G416" s="10">
        <f t="shared" si="230"/>
        <v>870.05</v>
      </c>
      <c r="H416" s="10">
        <v>870.05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0</v>
      </c>
      <c r="R416" s="10">
        <v>0</v>
      </c>
      <c r="S416" s="10">
        <v>0</v>
      </c>
      <c r="T416" s="7"/>
      <c r="U416" s="8"/>
      <c r="V416" s="8"/>
      <c r="Z416" s="10"/>
      <c r="AA416" s="8"/>
      <c r="AI416" s="8"/>
    </row>
    <row r="417" spans="2:35" ht="9.75" customHeight="1" x14ac:dyDescent="0.25">
      <c r="B417" s="62" t="s">
        <v>809</v>
      </c>
      <c r="C417" s="62" t="s">
        <v>810</v>
      </c>
      <c r="D417" s="62"/>
      <c r="E417" s="51">
        <f t="shared" ref="E417" si="232">SUM(H417:S417)-G417</f>
        <v>0</v>
      </c>
      <c r="F417" s="10"/>
      <c r="G417" s="63">
        <f>+G418+G420+G428+G431</f>
        <v>328654</v>
      </c>
      <c r="H417" s="63">
        <f t="shared" ref="H417:S417" si="233">+H418+H420+H428+H431</f>
        <v>135730.54</v>
      </c>
      <c r="I417" s="63">
        <f t="shared" si="233"/>
        <v>11596.88</v>
      </c>
      <c r="J417" s="63">
        <f t="shared" si="233"/>
        <v>18859.580000000002</v>
      </c>
      <c r="K417" s="63">
        <f t="shared" si="233"/>
        <v>10902.49</v>
      </c>
      <c r="L417" s="63">
        <f t="shared" si="233"/>
        <v>23849.22</v>
      </c>
      <c r="M417" s="63">
        <f t="shared" si="233"/>
        <v>7548.7</v>
      </c>
      <c r="N417" s="63">
        <f t="shared" si="233"/>
        <v>3944.83</v>
      </c>
      <c r="O417" s="63">
        <f t="shared" si="233"/>
        <v>9601.6899999999987</v>
      </c>
      <c r="P417" s="63">
        <f t="shared" si="233"/>
        <v>106620.07</v>
      </c>
      <c r="Q417" s="63">
        <f t="shared" si="233"/>
        <v>0</v>
      </c>
      <c r="R417" s="63">
        <f t="shared" si="233"/>
        <v>0</v>
      </c>
      <c r="S417" s="63">
        <f t="shared" si="233"/>
        <v>0</v>
      </c>
      <c r="T417" s="7">
        <f t="shared" si="188"/>
        <v>328654</v>
      </c>
      <c r="U417" s="8">
        <f t="shared" si="196"/>
        <v>0</v>
      </c>
      <c r="V417" s="8"/>
      <c r="Z417" s="63"/>
      <c r="AA417" s="8"/>
      <c r="AH417" s="61">
        <f t="shared" si="213"/>
        <v>-328654</v>
      </c>
      <c r="AI417" s="8"/>
    </row>
    <row r="418" spans="2:35" ht="10.5" customHeight="1" x14ac:dyDescent="0.25">
      <c r="B418" s="62" t="s">
        <v>811</v>
      </c>
      <c r="C418" s="62" t="s">
        <v>812</v>
      </c>
      <c r="D418" s="62"/>
      <c r="E418" s="51">
        <f t="shared" si="225"/>
        <v>0</v>
      </c>
      <c r="F418" s="10"/>
      <c r="G418" s="63">
        <f>+G419</f>
        <v>0</v>
      </c>
      <c r="H418" s="63">
        <f t="shared" ref="H418:Z418" si="234">+H419</f>
        <v>0</v>
      </c>
      <c r="I418" s="63">
        <f t="shared" si="234"/>
        <v>0</v>
      </c>
      <c r="J418" s="63">
        <f t="shared" si="234"/>
        <v>0</v>
      </c>
      <c r="K418" s="63">
        <f t="shared" si="234"/>
        <v>0</v>
      </c>
      <c r="L418" s="63">
        <f t="shared" si="234"/>
        <v>0</v>
      </c>
      <c r="M418" s="63">
        <f t="shared" si="234"/>
        <v>0</v>
      </c>
      <c r="N418" s="63">
        <f t="shared" si="234"/>
        <v>0</v>
      </c>
      <c r="O418" s="63">
        <f t="shared" si="234"/>
        <v>0</v>
      </c>
      <c r="P418" s="63">
        <f t="shared" si="234"/>
        <v>0</v>
      </c>
      <c r="Q418" s="63">
        <f t="shared" si="234"/>
        <v>0</v>
      </c>
      <c r="R418" s="63">
        <f t="shared" si="234"/>
        <v>0</v>
      </c>
      <c r="S418" s="63">
        <f t="shared" si="234"/>
        <v>0</v>
      </c>
      <c r="T418" s="7">
        <f t="shared" si="188"/>
        <v>0</v>
      </c>
      <c r="U418" s="8">
        <f t="shared" si="196"/>
        <v>0</v>
      </c>
      <c r="V418" s="8"/>
      <c r="Z418" s="63">
        <f t="shared" si="234"/>
        <v>1864.3</v>
      </c>
      <c r="AA418" s="8">
        <f t="shared" si="205"/>
        <v>1864.3</v>
      </c>
      <c r="AH418" s="61">
        <f t="shared" si="213"/>
        <v>0</v>
      </c>
      <c r="AI418" s="8"/>
    </row>
    <row r="419" spans="2:35" ht="10.5" customHeight="1" x14ac:dyDescent="0.25">
      <c r="B419" s="64" t="s">
        <v>813</v>
      </c>
      <c r="C419" s="64" t="s">
        <v>215</v>
      </c>
      <c r="D419" s="64" t="s">
        <v>218</v>
      </c>
      <c r="E419" s="51">
        <f t="shared" si="225"/>
        <v>0</v>
      </c>
      <c r="F419" s="10">
        <f t="shared" si="212"/>
        <v>0</v>
      </c>
      <c r="G419" s="10">
        <f>SUM(H419:S419)</f>
        <v>0</v>
      </c>
      <c r="H419" s="10"/>
      <c r="I419" s="10"/>
      <c r="J419" s="10"/>
      <c r="K419" s="10"/>
      <c r="L419" s="10"/>
      <c r="M419" s="10"/>
      <c r="N419" s="10">
        <v>0</v>
      </c>
      <c r="O419" s="10">
        <v>0</v>
      </c>
      <c r="P419" s="10">
        <v>0</v>
      </c>
      <c r="Q419" s="10">
        <v>0</v>
      </c>
      <c r="R419" s="10">
        <v>0</v>
      </c>
      <c r="S419" s="10">
        <v>0</v>
      </c>
      <c r="T419" s="7">
        <f t="shared" si="188"/>
        <v>0</v>
      </c>
      <c r="U419" s="8">
        <f t="shared" si="196"/>
        <v>0</v>
      </c>
      <c r="V419" s="8"/>
      <c r="Z419" s="10">
        <v>1864.3</v>
      </c>
      <c r="AA419" s="8">
        <f t="shared" si="205"/>
        <v>1864.3</v>
      </c>
      <c r="AG419" s="10">
        <f>1810*1.03</f>
        <v>1864.3</v>
      </c>
      <c r="AH419" s="61">
        <f t="shared" si="213"/>
        <v>1864.3</v>
      </c>
      <c r="AI419" s="8">
        <f>+G419</f>
        <v>0</v>
      </c>
    </row>
    <row r="420" spans="2:35" ht="10.5" customHeight="1" x14ac:dyDescent="0.25">
      <c r="B420" s="62" t="s">
        <v>814</v>
      </c>
      <c r="C420" s="62" t="s">
        <v>97</v>
      </c>
      <c r="D420" s="62"/>
      <c r="E420" s="51">
        <f t="shared" ref="E420" si="235">SUM(H420:S420)-G420</f>
        <v>0</v>
      </c>
      <c r="F420" s="10"/>
      <c r="G420" s="63">
        <f>SUM(G421:G427)</f>
        <v>0</v>
      </c>
      <c r="H420" s="63">
        <f t="shared" ref="H420:S420" si="236">SUM(H421:H427)</f>
        <v>0</v>
      </c>
      <c r="I420" s="63">
        <f t="shared" si="236"/>
        <v>0</v>
      </c>
      <c r="J420" s="63">
        <f t="shared" si="236"/>
        <v>0</v>
      </c>
      <c r="K420" s="63">
        <f t="shared" si="236"/>
        <v>0</v>
      </c>
      <c r="L420" s="63">
        <f t="shared" si="236"/>
        <v>0</v>
      </c>
      <c r="M420" s="63">
        <f t="shared" si="236"/>
        <v>0</v>
      </c>
      <c r="N420" s="63">
        <f t="shared" si="236"/>
        <v>0</v>
      </c>
      <c r="O420" s="63">
        <f t="shared" si="236"/>
        <v>0</v>
      </c>
      <c r="P420" s="63">
        <f t="shared" si="236"/>
        <v>0</v>
      </c>
      <c r="Q420" s="63">
        <f t="shared" si="236"/>
        <v>0</v>
      </c>
      <c r="R420" s="63">
        <f t="shared" si="236"/>
        <v>0</v>
      </c>
      <c r="S420" s="63">
        <f t="shared" si="236"/>
        <v>0</v>
      </c>
      <c r="T420" s="7">
        <f t="shared" si="188"/>
        <v>0</v>
      </c>
      <c r="U420" s="8">
        <f t="shared" si="196"/>
        <v>0</v>
      </c>
      <c r="V420" s="8"/>
      <c r="W420" s="63"/>
      <c r="X420" s="63"/>
      <c r="Y420" s="63"/>
      <c r="Z420" s="63"/>
      <c r="AA420" s="8"/>
      <c r="AB420" s="63"/>
      <c r="AC420" s="63"/>
      <c r="AD420" s="63"/>
      <c r="AE420" s="63"/>
      <c r="AF420" s="63"/>
      <c r="AH420" s="61">
        <f t="shared" si="213"/>
        <v>0</v>
      </c>
      <c r="AI420" s="8"/>
    </row>
    <row r="421" spans="2:35" ht="22.5" customHeight="1" x14ac:dyDescent="0.25">
      <c r="B421" s="64" t="s">
        <v>815</v>
      </c>
      <c r="C421" s="73" t="s">
        <v>816</v>
      </c>
      <c r="D421" s="73" t="s">
        <v>578</v>
      </c>
      <c r="E421" s="51">
        <f t="shared" ref="E421:E430" si="237">+F421-G421</f>
        <v>0</v>
      </c>
      <c r="F421" s="10">
        <f t="shared" si="212"/>
        <v>0</v>
      </c>
      <c r="G421" s="10">
        <f t="shared" ref="G421:G427" si="238">SUM(H421:S421)</f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0</v>
      </c>
      <c r="Q421" s="10">
        <v>0</v>
      </c>
      <c r="R421" s="10">
        <v>0</v>
      </c>
      <c r="S421" s="10">
        <v>0</v>
      </c>
      <c r="T421" s="7">
        <f t="shared" ref="T421:T487" si="239">SUM(H421:S421)</f>
        <v>0</v>
      </c>
      <c r="U421" s="8">
        <f t="shared" si="196"/>
        <v>0</v>
      </c>
      <c r="V421" s="8"/>
      <c r="Z421" s="10"/>
      <c r="AA421" s="8"/>
      <c r="AG421" s="10">
        <f>44.69*1.03</f>
        <v>46.030699999999996</v>
      </c>
      <c r="AH421" s="61">
        <f t="shared" si="213"/>
        <v>46.030699999999996</v>
      </c>
      <c r="AI421" s="8">
        <f t="shared" ref="AI421:AI427" si="240">+G421</f>
        <v>0</v>
      </c>
    </row>
    <row r="422" spans="2:35" ht="9.75" customHeight="1" x14ac:dyDescent="0.25">
      <c r="B422" s="64" t="s">
        <v>817</v>
      </c>
      <c r="C422" s="64" t="s">
        <v>818</v>
      </c>
      <c r="D422" s="73" t="s">
        <v>578</v>
      </c>
      <c r="E422" s="51">
        <f t="shared" si="237"/>
        <v>0</v>
      </c>
      <c r="F422" s="10">
        <f t="shared" si="212"/>
        <v>0</v>
      </c>
      <c r="G422" s="10">
        <f t="shared" si="238"/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0</v>
      </c>
      <c r="Q422" s="10">
        <v>0</v>
      </c>
      <c r="R422" s="10">
        <v>0</v>
      </c>
      <c r="S422" s="10">
        <v>0</v>
      </c>
      <c r="T422" s="7">
        <f t="shared" si="239"/>
        <v>0</v>
      </c>
      <c r="U422" s="8">
        <f t="shared" si="196"/>
        <v>0</v>
      </c>
      <c r="V422" s="8"/>
      <c r="Z422" s="10"/>
      <c r="AA422" s="8"/>
      <c r="AG422" s="10">
        <f>945.79*1.03</f>
        <v>974.16369999999995</v>
      </c>
      <c r="AH422" s="61">
        <f t="shared" si="213"/>
        <v>974.16369999999995</v>
      </c>
      <c r="AI422" s="8">
        <f t="shared" si="240"/>
        <v>0</v>
      </c>
    </row>
    <row r="423" spans="2:35" ht="9.75" customHeight="1" x14ac:dyDescent="0.25">
      <c r="B423" s="64" t="s">
        <v>819</v>
      </c>
      <c r="C423" s="64" t="s">
        <v>820</v>
      </c>
      <c r="D423" s="73" t="s">
        <v>578</v>
      </c>
      <c r="E423" s="51">
        <f t="shared" si="237"/>
        <v>0</v>
      </c>
      <c r="F423" s="10">
        <f t="shared" si="212"/>
        <v>0</v>
      </c>
      <c r="G423" s="10">
        <f t="shared" si="238"/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0</v>
      </c>
      <c r="R423" s="10">
        <v>0</v>
      </c>
      <c r="S423" s="10">
        <v>0</v>
      </c>
      <c r="T423" s="7">
        <f t="shared" si="239"/>
        <v>0</v>
      </c>
      <c r="U423" s="8">
        <f t="shared" si="196"/>
        <v>0</v>
      </c>
      <c r="V423" s="8"/>
      <c r="Z423" s="10"/>
      <c r="AA423" s="8"/>
      <c r="AG423" s="10">
        <f>176.14*1.03</f>
        <v>181.42419999999998</v>
      </c>
      <c r="AH423" s="61">
        <f t="shared" si="213"/>
        <v>181.42419999999998</v>
      </c>
      <c r="AI423" s="8">
        <f t="shared" si="240"/>
        <v>0</v>
      </c>
    </row>
    <row r="424" spans="2:35" ht="9.75" customHeight="1" x14ac:dyDescent="0.25">
      <c r="B424" s="64" t="s">
        <v>821</v>
      </c>
      <c r="C424" s="64" t="s">
        <v>822</v>
      </c>
      <c r="D424" s="73" t="s">
        <v>578</v>
      </c>
      <c r="E424" s="51">
        <f t="shared" si="237"/>
        <v>0</v>
      </c>
      <c r="F424" s="10">
        <f t="shared" si="212"/>
        <v>0</v>
      </c>
      <c r="G424" s="10">
        <f t="shared" si="238"/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0</v>
      </c>
      <c r="R424" s="10">
        <v>0</v>
      </c>
      <c r="S424" s="10">
        <v>0</v>
      </c>
      <c r="T424" s="7">
        <f t="shared" si="239"/>
        <v>0</v>
      </c>
      <c r="U424" s="8">
        <f t="shared" si="196"/>
        <v>0</v>
      </c>
      <c r="V424" s="8"/>
      <c r="Z424" s="10">
        <v>53662.54</v>
      </c>
      <c r="AA424" s="8">
        <f t="shared" si="205"/>
        <v>53662.54</v>
      </c>
      <c r="AG424" s="10">
        <f>52099.55*1.03</f>
        <v>53662.536500000002</v>
      </c>
      <c r="AH424" s="61">
        <f t="shared" si="213"/>
        <v>53662.536500000002</v>
      </c>
      <c r="AI424" s="8">
        <f t="shared" si="240"/>
        <v>0</v>
      </c>
    </row>
    <row r="425" spans="2:35" ht="9.75" customHeight="1" x14ac:dyDescent="0.25">
      <c r="B425" s="64" t="s">
        <v>823</v>
      </c>
      <c r="C425" s="64" t="s">
        <v>824</v>
      </c>
      <c r="D425" s="73" t="s">
        <v>578</v>
      </c>
      <c r="E425" s="51">
        <f t="shared" si="237"/>
        <v>0</v>
      </c>
      <c r="F425" s="10">
        <f t="shared" si="212"/>
        <v>0</v>
      </c>
      <c r="G425" s="10">
        <f t="shared" si="238"/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0</v>
      </c>
      <c r="R425" s="10">
        <v>0</v>
      </c>
      <c r="S425" s="10">
        <v>0</v>
      </c>
      <c r="T425" s="7">
        <f t="shared" si="239"/>
        <v>0</v>
      </c>
      <c r="U425" s="8">
        <f t="shared" si="196"/>
        <v>0</v>
      </c>
      <c r="V425" s="8"/>
      <c r="Z425" s="10">
        <v>1304.17</v>
      </c>
      <c r="AA425" s="8">
        <f t="shared" si="205"/>
        <v>1304.17</v>
      </c>
      <c r="AG425" s="10">
        <f>1193.57*1.03</f>
        <v>1229.3770999999999</v>
      </c>
      <c r="AH425" s="61">
        <f t="shared" si="213"/>
        <v>1229.3770999999999</v>
      </c>
      <c r="AI425" s="8">
        <f t="shared" si="240"/>
        <v>0</v>
      </c>
    </row>
    <row r="426" spans="2:35" ht="9.75" customHeight="1" x14ac:dyDescent="0.25">
      <c r="B426" s="64" t="s">
        <v>825</v>
      </c>
      <c r="C426" s="64" t="s">
        <v>826</v>
      </c>
      <c r="D426" s="73" t="s">
        <v>578</v>
      </c>
      <c r="E426" s="51">
        <f t="shared" si="237"/>
        <v>0</v>
      </c>
      <c r="F426" s="10">
        <f t="shared" si="212"/>
        <v>0</v>
      </c>
      <c r="G426" s="10">
        <f t="shared" si="238"/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7">
        <f t="shared" si="239"/>
        <v>0</v>
      </c>
      <c r="U426" s="8">
        <f t="shared" si="196"/>
        <v>0</v>
      </c>
      <c r="V426" s="8"/>
      <c r="Z426" s="10">
        <v>822.01</v>
      </c>
      <c r="AA426" s="8">
        <f t="shared" si="205"/>
        <v>822.01</v>
      </c>
      <c r="AG426" s="10">
        <f>822.01*1.03</f>
        <v>846.6703</v>
      </c>
      <c r="AH426" s="61">
        <f t="shared" si="213"/>
        <v>846.6703</v>
      </c>
      <c r="AI426" s="8">
        <f t="shared" si="240"/>
        <v>0</v>
      </c>
    </row>
    <row r="427" spans="2:35" ht="9.75" customHeight="1" x14ac:dyDescent="0.25">
      <c r="B427" s="64" t="s">
        <v>827</v>
      </c>
      <c r="C427" s="64" t="s">
        <v>828</v>
      </c>
      <c r="D427" s="73" t="s">
        <v>578</v>
      </c>
      <c r="E427" s="51">
        <f t="shared" si="237"/>
        <v>0</v>
      </c>
      <c r="F427" s="10">
        <f t="shared" si="212"/>
        <v>0</v>
      </c>
      <c r="G427" s="10">
        <f t="shared" si="238"/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7">
        <f t="shared" si="239"/>
        <v>0</v>
      </c>
      <c r="U427" s="8">
        <f t="shared" si="196"/>
        <v>0</v>
      </c>
      <c r="V427" s="8"/>
      <c r="Z427" s="10"/>
      <c r="AA427" s="8"/>
      <c r="AG427" s="10">
        <f>23440.44*1.03</f>
        <v>24143.653200000001</v>
      </c>
      <c r="AH427" s="61">
        <f t="shared" si="213"/>
        <v>24143.653200000001</v>
      </c>
      <c r="AI427" s="8">
        <f t="shared" si="240"/>
        <v>0</v>
      </c>
    </row>
    <row r="428" spans="2:35" ht="9.75" customHeight="1" x14ac:dyDescent="0.25">
      <c r="B428" s="62" t="s">
        <v>829</v>
      </c>
      <c r="C428" s="62" t="s">
        <v>471</v>
      </c>
      <c r="D428" s="62"/>
      <c r="E428" s="51">
        <f t="shared" ref="E428:E432" si="241">SUM(H428:S428)-G428</f>
        <v>0</v>
      </c>
      <c r="F428" s="10"/>
      <c r="G428" s="63">
        <f>+G429</f>
        <v>94446.14</v>
      </c>
      <c r="H428" s="63">
        <f t="shared" ref="H428:S429" si="242">+H429</f>
        <v>1773</v>
      </c>
      <c r="I428" s="63">
        <f t="shared" si="242"/>
        <v>1086.1400000000001</v>
      </c>
      <c r="J428" s="63">
        <f t="shared" si="242"/>
        <v>0</v>
      </c>
      <c r="K428" s="63">
        <f t="shared" si="242"/>
        <v>0</v>
      </c>
      <c r="L428" s="63">
        <f t="shared" si="242"/>
        <v>0</v>
      </c>
      <c r="M428" s="63">
        <f t="shared" si="242"/>
        <v>0</v>
      </c>
      <c r="N428" s="63">
        <f t="shared" si="242"/>
        <v>0</v>
      </c>
      <c r="O428" s="63">
        <f t="shared" si="242"/>
        <v>0</v>
      </c>
      <c r="P428" s="63">
        <f t="shared" si="242"/>
        <v>91587</v>
      </c>
      <c r="Q428" s="63">
        <f t="shared" si="242"/>
        <v>0</v>
      </c>
      <c r="R428" s="63">
        <f t="shared" si="242"/>
        <v>0</v>
      </c>
      <c r="S428" s="63">
        <f t="shared" si="242"/>
        <v>0</v>
      </c>
      <c r="T428" s="7">
        <f t="shared" si="239"/>
        <v>94446.14</v>
      </c>
      <c r="U428" s="8">
        <f t="shared" si="196"/>
        <v>0</v>
      </c>
      <c r="V428" s="8"/>
      <c r="Z428" s="63"/>
      <c r="AA428" s="8"/>
      <c r="AH428" s="61">
        <f t="shared" si="213"/>
        <v>-94446.14</v>
      </c>
      <c r="AI428" s="8"/>
    </row>
    <row r="429" spans="2:35" ht="9.75" customHeight="1" x14ac:dyDescent="0.25">
      <c r="B429" s="62" t="s">
        <v>830</v>
      </c>
      <c r="C429" s="62" t="s">
        <v>471</v>
      </c>
      <c r="D429" s="62"/>
      <c r="E429" s="51">
        <f t="shared" si="241"/>
        <v>0</v>
      </c>
      <c r="F429" s="10"/>
      <c r="G429" s="63">
        <f>+G430</f>
        <v>94446.14</v>
      </c>
      <c r="H429" s="63">
        <f t="shared" si="242"/>
        <v>1773</v>
      </c>
      <c r="I429" s="63">
        <f t="shared" si="242"/>
        <v>1086.1400000000001</v>
      </c>
      <c r="J429" s="63">
        <f t="shared" si="242"/>
        <v>0</v>
      </c>
      <c r="K429" s="63">
        <f t="shared" si="242"/>
        <v>0</v>
      </c>
      <c r="L429" s="63">
        <f t="shared" si="242"/>
        <v>0</v>
      </c>
      <c r="M429" s="63">
        <f t="shared" si="242"/>
        <v>0</v>
      </c>
      <c r="N429" s="63">
        <f t="shared" si="242"/>
        <v>0</v>
      </c>
      <c r="O429" s="63">
        <f t="shared" si="242"/>
        <v>0</v>
      </c>
      <c r="P429" s="63">
        <f t="shared" si="242"/>
        <v>91587</v>
      </c>
      <c r="Q429" s="63">
        <f t="shared" si="242"/>
        <v>0</v>
      </c>
      <c r="R429" s="63">
        <f t="shared" si="242"/>
        <v>0</v>
      </c>
      <c r="S429" s="63">
        <f t="shared" si="242"/>
        <v>0</v>
      </c>
      <c r="T429" s="7">
        <f t="shared" si="239"/>
        <v>94446.14</v>
      </c>
      <c r="U429" s="8">
        <f t="shared" si="196"/>
        <v>0</v>
      </c>
      <c r="V429" s="8"/>
      <c r="Z429" s="63"/>
      <c r="AA429" s="8"/>
      <c r="AH429" s="61">
        <f t="shared" si="213"/>
        <v>-94446.14</v>
      </c>
      <c r="AI429" s="8"/>
    </row>
    <row r="430" spans="2:35" ht="9.75" customHeight="1" x14ac:dyDescent="0.25">
      <c r="B430" s="64" t="s">
        <v>831</v>
      </c>
      <c r="C430" s="64" t="s">
        <v>832</v>
      </c>
      <c r="D430" s="64" t="s">
        <v>100</v>
      </c>
      <c r="E430" s="51">
        <f t="shared" si="237"/>
        <v>0</v>
      </c>
      <c r="F430" s="10">
        <f t="shared" si="212"/>
        <v>94446.14</v>
      </c>
      <c r="G430" s="10">
        <f>SUM(H430:S430)</f>
        <v>94446.14</v>
      </c>
      <c r="H430" s="10">
        <v>1773</v>
      </c>
      <c r="I430" s="10">
        <v>1086.1400000000001</v>
      </c>
      <c r="J430" s="10">
        <v>0</v>
      </c>
      <c r="K430" s="10">
        <v>0</v>
      </c>
      <c r="L430" s="10">
        <v>0</v>
      </c>
      <c r="M430" s="10">
        <v>0</v>
      </c>
      <c r="N430" s="10"/>
      <c r="O430" s="10"/>
      <c r="P430" s="10">
        <v>91587</v>
      </c>
      <c r="Q430" s="10">
        <v>0</v>
      </c>
      <c r="R430" s="10">
        <v>0</v>
      </c>
      <c r="S430" s="10">
        <v>0</v>
      </c>
      <c r="T430" s="7">
        <f t="shared" si="239"/>
        <v>94446.14</v>
      </c>
      <c r="U430" s="8">
        <f t="shared" si="196"/>
        <v>0</v>
      </c>
      <c r="V430" s="8"/>
      <c r="Z430" s="10"/>
      <c r="AA430" s="8"/>
      <c r="AG430" s="10">
        <f>208551.38*1.03</f>
        <v>214807.92140000002</v>
      </c>
      <c r="AH430" s="61">
        <f t="shared" si="213"/>
        <v>120361.78140000002</v>
      </c>
      <c r="AI430" s="8">
        <f>+G430</f>
        <v>94446.14</v>
      </c>
    </row>
    <row r="431" spans="2:35" ht="9.75" customHeight="1" x14ac:dyDescent="0.25">
      <c r="B431" s="62" t="s">
        <v>833</v>
      </c>
      <c r="C431" s="62" t="s">
        <v>834</v>
      </c>
      <c r="D431" s="62"/>
      <c r="E431" s="51">
        <f t="shared" si="241"/>
        <v>0</v>
      </c>
      <c r="F431" s="10"/>
      <c r="G431" s="63">
        <f>+G432</f>
        <v>234207.86</v>
      </c>
      <c r="H431" s="63">
        <f>+H432</f>
        <v>133957.54</v>
      </c>
      <c r="I431" s="63">
        <f t="shared" ref="I431:S431" si="243">+I432</f>
        <v>10510.74</v>
      </c>
      <c r="J431" s="63">
        <f t="shared" si="243"/>
        <v>18859.580000000002</v>
      </c>
      <c r="K431" s="63">
        <f t="shared" si="243"/>
        <v>10902.49</v>
      </c>
      <c r="L431" s="63">
        <f t="shared" si="243"/>
        <v>23849.22</v>
      </c>
      <c r="M431" s="63">
        <f t="shared" si="243"/>
        <v>7548.7</v>
      </c>
      <c r="N431" s="63">
        <f t="shared" si="243"/>
        <v>3944.83</v>
      </c>
      <c r="O431" s="63">
        <f t="shared" si="243"/>
        <v>9601.6899999999987</v>
      </c>
      <c r="P431" s="63">
        <f t="shared" si="243"/>
        <v>15033.07</v>
      </c>
      <c r="Q431" s="63">
        <f t="shared" si="243"/>
        <v>0</v>
      </c>
      <c r="R431" s="63">
        <f t="shared" si="243"/>
        <v>0</v>
      </c>
      <c r="S431" s="63">
        <f t="shared" si="243"/>
        <v>0</v>
      </c>
      <c r="T431" s="7">
        <f t="shared" si="239"/>
        <v>234207.86</v>
      </c>
      <c r="U431" s="8">
        <f t="shared" si="196"/>
        <v>0</v>
      </c>
      <c r="V431" s="8"/>
      <c r="Z431" s="10"/>
      <c r="AA431" s="8"/>
      <c r="AI431" s="8"/>
    </row>
    <row r="432" spans="2:35" ht="9.75" customHeight="1" x14ac:dyDescent="0.25">
      <c r="B432" s="62" t="s">
        <v>835</v>
      </c>
      <c r="C432" s="62" t="s">
        <v>834</v>
      </c>
      <c r="D432" s="62"/>
      <c r="E432" s="51">
        <f t="shared" si="241"/>
        <v>0</v>
      </c>
      <c r="F432" s="10"/>
      <c r="G432" s="63">
        <f>SUM(G433:G435)</f>
        <v>234207.86</v>
      </c>
      <c r="H432" s="63">
        <f>SUM(H433:H435)</f>
        <v>133957.54</v>
      </c>
      <c r="I432" s="63">
        <f t="shared" ref="I432:S432" si="244">SUM(I433:I435)</f>
        <v>10510.74</v>
      </c>
      <c r="J432" s="63">
        <f t="shared" si="244"/>
        <v>18859.580000000002</v>
      </c>
      <c r="K432" s="63">
        <f t="shared" si="244"/>
        <v>10902.49</v>
      </c>
      <c r="L432" s="63">
        <f t="shared" si="244"/>
        <v>23849.22</v>
      </c>
      <c r="M432" s="63">
        <f t="shared" si="244"/>
        <v>7548.7</v>
      </c>
      <c r="N432" s="63">
        <f t="shared" si="244"/>
        <v>3944.83</v>
      </c>
      <c r="O432" s="63">
        <f t="shared" si="244"/>
        <v>9601.6899999999987</v>
      </c>
      <c r="P432" s="63">
        <f t="shared" si="244"/>
        <v>15033.07</v>
      </c>
      <c r="Q432" s="63">
        <f t="shared" si="244"/>
        <v>0</v>
      </c>
      <c r="R432" s="63">
        <f t="shared" si="244"/>
        <v>0</v>
      </c>
      <c r="S432" s="63">
        <f t="shared" si="244"/>
        <v>0</v>
      </c>
      <c r="T432" s="7">
        <f t="shared" si="239"/>
        <v>234207.86</v>
      </c>
      <c r="U432" s="8">
        <f t="shared" si="196"/>
        <v>0</v>
      </c>
      <c r="V432" s="8"/>
      <c r="Z432" s="10"/>
      <c r="AA432" s="8"/>
      <c r="AI432" s="8"/>
    </row>
    <row r="433" spans="2:35" ht="9.75" customHeight="1" x14ac:dyDescent="0.25">
      <c r="B433" s="64" t="s">
        <v>836</v>
      </c>
      <c r="C433" s="64" t="s">
        <v>837</v>
      </c>
      <c r="D433" s="64" t="s">
        <v>132</v>
      </c>
      <c r="F433" s="10">
        <f t="shared" si="212"/>
        <v>273.77999999999997</v>
      </c>
      <c r="G433" s="10">
        <f t="shared" ref="G433:G435" si="245">SUM(H433:S433)</f>
        <v>273.77999999999997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0</v>
      </c>
      <c r="N433" s="10">
        <v>273.77999999999997</v>
      </c>
      <c r="O433" s="10"/>
      <c r="P433" s="10">
        <v>0</v>
      </c>
      <c r="Q433" s="10"/>
      <c r="R433" s="10"/>
      <c r="S433" s="10"/>
      <c r="T433" s="7">
        <f t="shared" si="239"/>
        <v>273.77999999999997</v>
      </c>
      <c r="U433" s="8">
        <f t="shared" si="196"/>
        <v>0</v>
      </c>
      <c r="V433" s="8"/>
      <c r="Z433" s="10"/>
      <c r="AA433" s="8"/>
      <c r="AI433" s="8"/>
    </row>
    <row r="434" spans="2:35" ht="9.75" customHeight="1" x14ac:dyDescent="0.25">
      <c r="B434" s="64" t="s">
        <v>838</v>
      </c>
      <c r="C434" s="64" t="s">
        <v>375</v>
      </c>
      <c r="D434" s="64" t="s">
        <v>129</v>
      </c>
      <c r="E434" s="51">
        <f t="shared" ref="E434:E448" si="246">+F434-G434</f>
        <v>0</v>
      </c>
      <c r="F434" s="10">
        <f t="shared" si="212"/>
        <v>233934.07999999999</v>
      </c>
      <c r="G434" s="10">
        <f t="shared" si="245"/>
        <v>233934.07999999999</v>
      </c>
      <c r="H434" s="10">
        <v>133957.54</v>
      </c>
      <c r="I434" s="10">
        <v>10510.74</v>
      </c>
      <c r="J434" s="10">
        <v>18859.580000000002</v>
      </c>
      <c r="K434" s="10">
        <v>10902.49</v>
      </c>
      <c r="L434" s="10">
        <v>23849.22</v>
      </c>
      <c r="M434" s="10">
        <v>7548.7</v>
      </c>
      <c r="N434" s="10">
        <f>768.72+627.72+627.72+510.93+367.24+768.72</f>
        <v>3671.05</v>
      </c>
      <c r="O434" s="10">
        <f>627.72+627.72+851.55+2754.3+4740.4</f>
        <v>9601.6899999999987</v>
      </c>
      <c r="P434" s="10">
        <v>15033.07</v>
      </c>
      <c r="Q434" s="10">
        <v>0</v>
      </c>
      <c r="R434" s="10">
        <v>0</v>
      </c>
      <c r="S434" s="10">
        <v>0</v>
      </c>
      <c r="T434" s="7">
        <f t="shared" si="239"/>
        <v>233934.07999999999</v>
      </c>
      <c r="U434" s="8">
        <f t="shared" si="196"/>
        <v>0</v>
      </c>
      <c r="V434" s="8"/>
      <c r="Z434" s="10"/>
      <c r="AA434" s="8"/>
      <c r="AI434" s="8"/>
    </row>
    <row r="435" spans="2:35" ht="9.75" customHeight="1" x14ac:dyDescent="0.25">
      <c r="B435" s="64" t="s">
        <v>839</v>
      </c>
      <c r="C435" s="64" t="s">
        <v>475</v>
      </c>
      <c r="D435" s="64" t="s">
        <v>578</v>
      </c>
      <c r="E435" s="51">
        <f t="shared" si="246"/>
        <v>0</v>
      </c>
      <c r="F435" s="10">
        <f t="shared" si="212"/>
        <v>0</v>
      </c>
      <c r="G435" s="10">
        <f t="shared" si="245"/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0</v>
      </c>
      <c r="R435" s="10">
        <v>0</v>
      </c>
      <c r="S435" s="10">
        <v>0</v>
      </c>
      <c r="T435" s="7">
        <f t="shared" si="239"/>
        <v>0</v>
      </c>
      <c r="U435" s="8">
        <f t="shared" si="196"/>
        <v>0</v>
      </c>
      <c r="V435" s="8"/>
      <c r="Z435" s="10"/>
      <c r="AA435" s="8"/>
      <c r="AI435" s="8"/>
    </row>
    <row r="436" spans="2:35" ht="9.75" customHeight="1" x14ac:dyDescent="0.25">
      <c r="B436" s="62" t="s">
        <v>840</v>
      </c>
      <c r="C436" s="62" t="s">
        <v>841</v>
      </c>
      <c r="D436" s="62"/>
      <c r="E436" s="51">
        <f t="shared" ref="E436:E437" si="247">SUM(H436:S436)-G436</f>
        <v>0</v>
      </c>
      <c r="F436" s="10"/>
      <c r="G436" s="63">
        <f>+G437</f>
        <v>121077.54999999999</v>
      </c>
      <c r="H436" s="63">
        <f t="shared" ref="H436:S436" si="248">+H437</f>
        <v>51044.049999999996</v>
      </c>
      <c r="I436" s="63">
        <f t="shared" si="248"/>
        <v>3800.9399999999996</v>
      </c>
      <c r="J436" s="63">
        <f t="shared" si="248"/>
        <v>9302.5999999999985</v>
      </c>
      <c r="K436" s="63">
        <f t="shared" si="248"/>
        <v>6912.3899999999994</v>
      </c>
      <c r="L436" s="63">
        <f t="shared" si="248"/>
        <v>12616.780000000002</v>
      </c>
      <c r="M436" s="63">
        <f t="shared" si="248"/>
        <v>6104.62</v>
      </c>
      <c r="N436" s="63">
        <f t="shared" si="248"/>
        <v>2869.64</v>
      </c>
      <c r="O436" s="63">
        <f t="shared" si="248"/>
        <v>6994.9599999999991</v>
      </c>
      <c r="P436" s="63">
        <f t="shared" si="248"/>
        <v>12811.57</v>
      </c>
      <c r="Q436" s="63">
        <f t="shared" si="248"/>
        <v>8620</v>
      </c>
      <c r="R436" s="63">
        <f t="shared" si="248"/>
        <v>0</v>
      </c>
      <c r="S436" s="63">
        <f t="shared" si="248"/>
        <v>0</v>
      </c>
      <c r="T436" s="7">
        <f t="shared" si="239"/>
        <v>121077.54999999999</v>
      </c>
      <c r="U436" s="8">
        <f t="shared" si="196"/>
        <v>0</v>
      </c>
      <c r="V436" s="8"/>
      <c r="Z436" s="10"/>
      <c r="AA436" s="8"/>
      <c r="AI436" s="8"/>
    </row>
    <row r="437" spans="2:35" ht="9.75" customHeight="1" x14ac:dyDescent="0.25">
      <c r="B437" s="62" t="s">
        <v>842</v>
      </c>
      <c r="C437" s="62" t="s">
        <v>124</v>
      </c>
      <c r="D437" s="62"/>
      <c r="E437" s="51">
        <f t="shared" si="247"/>
        <v>0</v>
      </c>
      <c r="F437" s="10"/>
      <c r="G437" s="63">
        <f>SUM(G438:G443)</f>
        <v>121077.54999999999</v>
      </c>
      <c r="H437" s="63">
        <f t="shared" ref="H437:S437" si="249">SUM(H438:H443)</f>
        <v>51044.049999999996</v>
      </c>
      <c r="I437" s="63">
        <f t="shared" si="249"/>
        <v>3800.9399999999996</v>
      </c>
      <c r="J437" s="63">
        <f t="shared" si="249"/>
        <v>9302.5999999999985</v>
      </c>
      <c r="K437" s="63">
        <f t="shared" si="249"/>
        <v>6912.3899999999994</v>
      </c>
      <c r="L437" s="63">
        <f t="shared" si="249"/>
        <v>12616.780000000002</v>
      </c>
      <c r="M437" s="63">
        <f t="shared" si="249"/>
        <v>6104.62</v>
      </c>
      <c r="N437" s="63">
        <f t="shared" si="249"/>
        <v>2869.64</v>
      </c>
      <c r="O437" s="63">
        <f t="shared" si="249"/>
        <v>6994.9599999999991</v>
      </c>
      <c r="P437" s="63">
        <f t="shared" si="249"/>
        <v>12811.57</v>
      </c>
      <c r="Q437" s="63">
        <f t="shared" si="249"/>
        <v>8620</v>
      </c>
      <c r="R437" s="63">
        <f t="shared" si="249"/>
        <v>0</v>
      </c>
      <c r="S437" s="63">
        <f t="shared" si="249"/>
        <v>0</v>
      </c>
      <c r="T437" s="7">
        <f t="shared" si="239"/>
        <v>121077.54999999999</v>
      </c>
      <c r="U437" s="8">
        <f t="shared" si="196"/>
        <v>0</v>
      </c>
      <c r="V437" s="8"/>
      <c r="Z437" s="10"/>
      <c r="AA437" s="8"/>
      <c r="AI437" s="8"/>
    </row>
    <row r="438" spans="2:35" ht="9.75" customHeight="1" x14ac:dyDescent="0.25">
      <c r="B438" s="64" t="s">
        <v>843</v>
      </c>
      <c r="C438" s="64" t="s">
        <v>128</v>
      </c>
      <c r="D438" s="64" t="s">
        <v>129</v>
      </c>
      <c r="E438" s="51">
        <f t="shared" si="246"/>
        <v>0</v>
      </c>
      <c r="F438" s="10">
        <f t="shared" ref="F438:F442" si="250">+G438</f>
        <v>101511.70999999998</v>
      </c>
      <c r="G438" s="10">
        <f t="shared" ref="G438:G443" si="251">SUM(H438:S438)</f>
        <v>101511.70999999998</v>
      </c>
      <c r="H438" s="10">
        <v>44066.31</v>
      </c>
      <c r="I438" s="10">
        <v>3312.6</v>
      </c>
      <c r="J438" s="10">
        <v>7765.15</v>
      </c>
      <c r="K438" s="10">
        <v>4988.6099999999997</v>
      </c>
      <c r="L438" s="10">
        <v>12291.29</v>
      </c>
      <c r="M438" s="10">
        <v>3704.87</v>
      </c>
      <c r="N438" s="10">
        <v>2303.5300000000002</v>
      </c>
      <c r="O438" s="10">
        <v>5290.98</v>
      </c>
      <c r="P438" s="10">
        <v>9168.3700000000008</v>
      </c>
      <c r="Q438" s="10">
        <v>8620</v>
      </c>
      <c r="R438" s="10">
        <v>0</v>
      </c>
      <c r="S438" s="10">
        <v>0</v>
      </c>
      <c r="T438" s="7">
        <f t="shared" si="239"/>
        <v>101511.70999999998</v>
      </c>
      <c r="U438" s="8">
        <f t="shared" si="196"/>
        <v>0</v>
      </c>
      <c r="V438" s="8"/>
      <c r="Z438" s="10"/>
      <c r="AA438" s="8"/>
      <c r="AI438" s="8"/>
    </row>
    <row r="439" spans="2:35" ht="9.75" customHeight="1" x14ac:dyDescent="0.25">
      <c r="B439" s="64" t="s">
        <v>844</v>
      </c>
      <c r="C439" s="64" t="s">
        <v>131</v>
      </c>
      <c r="D439" s="64" t="s">
        <v>132</v>
      </c>
      <c r="E439" s="51">
        <f t="shared" si="246"/>
        <v>0</v>
      </c>
      <c r="F439" s="10">
        <f t="shared" si="250"/>
        <v>11715.83</v>
      </c>
      <c r="G439" s="10">
        <f t="shared" si="251"/>
        <v>11715.83</v>
      </c>
      <c r="H439" s="10">
        <v>4870.2700000000004</v>
      </c>
      <c r="I439" s="10">
        <v>398.51</v>
      </c>
      <c r="J439" s="10">
        <v>1492.55</v>
      </c>
      <c r="K439" s="10">
        <v>1923.78</v>
      </c>
      <c r="L439" s="10">
        <v>27.02</v>
      </c>
      <c r="M439" s="10">
        <v>1825.56</v>
      </c>
      <c r="N439" s="10">
        <v>164.98</v>
      </c>
      <c r="O439" s="10">
        <v>432.57</v>
      </c>
      <c r="P439" s="10">
        <v>580.59</v>
      </c>
      <c r="Q439" s="10">
        <v>0</v>
      </c>
      <c r="R439" s="10">
        <v>0</v>
      </c>
      <c r="S439" s="10">
        <v>0</v>
      </c>
      <c r="T439" s="7">
        <f t="shared" si="239"/>
        <v>11715.83</v>
      </c>
      <c r="U439" s="8">
        <f t="shared" si="196"/>
        <v>0</v>
      </c>
      <c r="V439" s="8"/>
      <c r="Z439" s="10"/>
      <c r="AA439" s="8"/>
      <c r="AI439" s="8"/>
    </row>
    <row r="440" spans="2:35" ht="9.75" customHeight="1" x14ac:dyDescent="0.25">
      <c r="B440" s="64" t="s">
        <v>845</v>
      </c>
      <c r="C440" s="64" t="s">
        <v>134</v>
      </c>
      <c r="D440" s="64" t="s">
        <v>30</v>
      </c>
      <c r="E440" s="51">
        <f t="shared" si="246"/>
        <v>0</v>
      </c>
      <c r="F440" s="10">
        <f t="shared" si="250"/>
        <v>6177.1</v>
      </c>
      <c r="G440" s="10">
        <f t="shared" si="251"/>
        <v>6177.1</v>
      </c>
      <c r="H440" s="10">
        <v>1308.17</v>
      </c>
      <c r="I440" s="10">
        <v>89.83</v>
      </c>
      <c r="J440" s="10">
        <v>44.9</v>
      </c>
      <c r="K440" s="10">
        <v>0</v>
      </c>
      <c r="L440" s="10">
        <v>269.42</v>
      </c>
      <c r="M440" s="10">
        <v>561.74</v>
      </c>
      <c r="N440" s="10">
        <v>259.77999999999997</v>
      </c>
      <c r="O440" s="10">
        <v>1166.3699999999999</v>
      </c>
      <c r="P440" s="10">
        <v>2476.89</v>
      </c>
      <c r="Q440" s="10">
        <v>0</v>
      </c>
      <c r="R440" s="10">
        <v>0</v>
      </c>
      <c r="S440" s="10">
        <v>0</v>
      </c>
      <c r="T440" s="7">
        <f t="shared" si="239"/>
        <v>6177.1</v>
      </c>
      <c r="U440" s="8">
        <f t="shared" si="196"/>
        <v>0</v>
      </c>
      <c r="V440" s="8"/>
      <c r="Z440" s="10"/>
      <c r="AA440" s="8"/>
      <c r="AI440" s="8"/>
    </row>
    <row r="441" spans="2:35" ht="9.75" customHeight="1" x14ac:dyDescent="0.25">
      <c r="B441" s="64" t="s">
        <v>846</v>
      </c>
      <c r="C441" s="64" t="s">
        <v>136</v>
      </c>
      <c r="D441" s="64" t="s">
        <v>132</v>
      </c>
      <c r="E441" s="51">
        <f t="shared" si="246"/>
        <v>0</v>
      </c>
      <c r="F441" s="10">
        <f t="shared" si="250"/>
        <v>591.43999999999994</v>
      </c>
      <c r="G441" s="10">
        <f t="shared" si="251"/>
        <v>591.43999999999994</v>
      </c>
      <c r="H441" s="10">
        <v>315.99</v>
      </c>
      <c r="I441" s="10">
        <v>0</v>
      </c>
      <c r="J441" s="10">
        <v>0</v>
      </c>
      <c r="K441" s="10">
        <v>0</v>
      </c>
      <c r="L441" s="10">
        <v>16.61</v>
      </c>
      <c r="M441" s="10">
        <v>12.45</v>
      </c>
      <c r="N441" s="10">
        <v>141.35</v>
      </c>
      <c r="O441" s="10">
        <v>105.04</v>
      </c>
      <c r="P441" s="10">
        <v>0</v>
      </c>
      <c r="Q441" s="10">
        <v>0</v>
      </c>
      <c r="R441" s="10">
        <v>0</v>
      </c>
      <c r="S441" s="10">
        <v>0</v>
      </c>
      <c r="T441" s="7">
        <f t="shared" si="239"/>
        <v>591.43999999999994</v>
      </c>
      <c r="U441" s="8">
        <f t="shared" si="196"/>
        <v>0</v>
      </c>
      <c r="V441" s="8"/>
      <c r="Z441" s="10"/>
      <c r="AA441" s="8"/>
      <c r="AI441" s="8"/>
    </row>
    <row r="442" spans="2:35" ht="10.5" customHeight="1" x14ac:dyDescent="0.25">
      <c r="B442" s="64" t="s">
        <v>847</v>
      </c>
      <c r="C442" s="64" t="s">
        <v>138</v>
      </c>
      <c r="D442" s="64" t="s">
        <v>100</v>
      </c>
      <c r="E442" s="51">
        <f t="shared" si="246"/>
        <v>0</v>
      </c>
      <c r="F442" s="10">
        <f t="shared" si="250"/>
        <v>671.90000000000009</v>
      </c>
      <c r="G442" s="10">
        <f t="shared" si="251"/>
        <v>671.90000000000009</v>
      </c>
      <c r="H442" s="10">
        <v>86.18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/>
      <c r="O442" s="10"/>
      <c r="P442" s="10">
        <v>585.72</v>
      </c>
      <c r="Q442" s="10">
        <v>0</v>
      </c>
      <c r="R442" s="10">
        <v>0</v>
      </c>
      <c r="S442" s="10">
        <v>0</v>
      </c>
      <c r="T442" s="7">
        <f t="shared" si="239"/>
        <v>671.90000000000009</v>
      </c>
      <c r="U442" s="8">
        <f t="shared" si="196"/>
        <v>0</v>
      </c>
      <c r="V442" s="8"/>
      <c r="Z442" s="10"/>
      <c r="AA442" s="8"/>
      <c r="AI442" s="8"/>
    </row>
    <row r="443" spans="2:35" ht="10.5" customHeight="1" x14ac:dyDescent="0.25">
      <c r="B443" s="64" t="s">
        <v>848</v>
      </c>
      <c r="C443" s="64" t="s">
        <v>849</v>
      </c>
      <c r="D443" s="64"/>
      <c r="F443" s="10"/>
      <c r="G443" s="10">
        <f t="shared" si="251"/>
        <v>409.57</v>
      </c>
      <c r="H443" s="10">
        <v>397.13</v>
      </c>
      <c r="I443" s="10">
        <v>0</v>
      </c>
      <c r="J443" s="10">
        <v>0</v>
      </c>
      <c r="K443" s="10">
        <v>0</v>
      </c>
      <c r="L443" s="10">
        <v>12.44</v>
      </c>
      <c r="M443" s="10">
        <v>0</v>
      </c>
      <c r="N443" s="10"/>
      <c r="O443" s="10"/>
      <c r="P443" s="10"/>
      <c r="Q443" s="10"/>
      <c r="R443" s="10"/>
      <c r="S443" s="10"/>
      <c r="T443" s="7">
        <f t="shared" si="239"/>
        <v>409.57</v>
      </c>
      <c r="U443" s="8">
        <f t="shared" ref="U443:U509" si="252">+T443-G443</f>
        <v>0</v>
      </c>
      <c r="V443" s="8"/>
      <c r="Z443" s="10"/>
      <c r="AA443" s="8"/>
      <c r="AI443" s="8"/>
    </row>
    <row r="444" spans="2:35" ht="23.25" customHeight="1" x14ac:dyDescent="0.25">
      <c r="B444" s="62" t="s">
        <v>850</v>
      </c>
      <c r="C444" s="71" t="s">
        <v>851</v>
      </c>
      <c r="D444" s="71"/>
      <c r="E444" s="51">
        <f t="shared" ref="E444:E445" si="253">SUM(H444:S444)-G444</f>
        <v>0</v>
      </c>
      <c r="F444" s="10">
        <v>0</v>
      </c>
      <c r="G444" s="63">
        <f t="shared" ref="G444:S444" si="254">SUM(G446:G448)</f>
        <v>0</v>
      </c>
      <c r="H444" s="63">
        <f t="shared" si="254"/>
        <v>0</v>
      </c>
      <c r="I444" s="63">
        <f t="shared" si="254"/>
        <v>0</v>
      </c>
      <c r="J444" s="63">
        <f t="shared" si="254"/>
        <v>0</v>
      </c>
      <c r="K444" s="63">
        <f t="shared" si="254"/>
        <v>0</v>
      </c>
      <c r="L444" s="63">
        <f t="shared" si="254"/>
        <v>0</v>
      </c>
      <c r="M444" s="63">
        <f t="shared" si="254"/>
        <v>0</v>
      </c>
      <c r="N444" s="63">
        <f t="shared" si="254"/>
        <v>0</v>
      </c>
      <c r="O444" s="63">
        <f t="shared" si="254"/>
        <v>0</v>
      </c>
      <c r="P444" s="63">
        <f t="shared" si="254"/>
        <v>0</v>
      </c>
      <c r="Q444" s="63">
        <f t="shared" si="254"/>
        <v>0</v>
      </c>
      <c r="R444" s="63">
        <f t="shared" si="254"/>
        <v>0</v>
      </c>
      <c r="S444" s="63">
        <f t="shared" si="254"/>
        <v>0</v>
      </c>
      <c r="T444" s="7">
        <f t="shared" si="239"/>
        <v>0</v>
      </c>
      <c r="U444" s="8">
        <f t="shared" si="252"/>
        <v>0</v>
      </c>
      <c r="V444" s="8"/>
      <c r="Z444" s="10"/>
      <c r="AA444" s="8"/>
      <c r="AI444" s="8"/>
    </row>
    <row r="445" spans="2:35" ht="10.5" customHeight="1" x14ac:dyDescent="0.25">
      <c r="B445" s="62" t="s">
        <v>852</v>
      </c>
      <c r="C445" s="62" t="s">
        <v>834</v>
      </c>
      <c r="D445" s="62"/>
      <c r="E445" s="51">
        <f t="shared" si="253"/>
        <v>0</v>
      </c>
      <c r="F445" s="10"/>
      <c r="G445" s="63">
        <f>SUM(G446:G448)</f>
        <v>0</v>
      </c>
      <c r="H445" s="63">
        <f t="shared" ref="H445:S445" si="255">SUM(H446:H448)</f>
        <v>0</v>
      </c>
      <c r="I445" s="63">
        <f t="shared" si="255"/>
        <v>0</v>
      </c>
      <c r="J445" s="63">
        <f t="shared" si="255"/>
        <v>0</v>
      </c>
      <c r="K445" s="63">
        <f t="shared" si="255"/>
        <v>0</v>
      </c>
      <c r="L445" s="63">
        <f t="shared" si="255"/>
        <v>0</v>
      </c>
      <c r="M445" s="63">
        <f t="shared" si="255"/>
        <v>0</v>
      </c>
      <c r="N445" s="63">
        <f t="shared" si="255"/>
        <v>0</v>
      </c>
      <c r="O445" s="63">
        <f t="shared" si="255"/>
        <v>0</v>
      </c>
      <c r="P445" s="63">
        <f t="shared" si="255"/>
        <v>0</v>
      </c>
      <c r="Q445" s="63">
        <f t="shared" si="255"/>
        <v>0</v>
      </c>
      <c r="R445" s="63">
        <f t="shared" si="255"/>
        <v>0</v>
      </c>
      <c r="S445" s="63">
        <f t="shared" si="255"/>
        <v>0</v>
      </c>
      <c r="T445" s="7">
        <f t="shared" si="239"/>
        <v>0</v>
      </c>
      <c r="U445" s="8">
        <f t="shared" si="252"/>
        <v>0</v>
      </c>
      <c r="V445" s="8"/>
      <c r="Z445" s="10"/>
      <c r="AA445" s="8"/>
      <c r="AI445" s="8"/>
    </row>
    <row r="446" spans="2:35" ht="10.5" customHeight="1" x14ac:dyDescent="0.25">
      <c r="B446" s="64" t="s">
        <v>853</v>
      </c>
      <c r="C446" s="64" t="s">
        <v>854</v>
      </c>
      <c r="D446" s="64" t="s">
        <v>132</v>
      </c>
      <c r="E446" s="51">
        <f t="shared" si="246"/>
        <v>0</v>
      </c>
      <c r="F446" s="10">
        <f t="shared" ref="F446:F448" si="256">+G446</f>
        <v>0</v>
      </c>
      <c r="G446" s="10">
        <f>SUM(H446:S446)</f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0</v>
      </c>
      <c r="R446" s="10">
        <v>0</v>
      </c>
      <c r="S446" s="10">
        <v>0</v>
      </c>
      <c r="T446" s="7">
        <f t="shared" si="239"/>
        <v>0</v>
      </c>
      <c r="U446" s="8">
        <f t="shared" si="252"/>
        <v>0</v>
      </c>
      <c r="V446" s="8"/>
      <c r="Z446" s="10"/>
      <c r="AA446" s="8"/>
      <c r="AI446" s="8"/>
    </row>
    <row r="447" spans="2:35" ht="10.5" customHeight="1" x14ac:dyDescent="0.25">
      <c r="B447" s="64" t="s">
        <v>855</v>
      </c>
      <c r="C447" s="64" t="s">
        <v>375</v>
      </c>
      <c r="D447" s="64" t="s">
        <v>129</v>
      </c>
      <c r="E447" s="51">
        <f t="shared" si="246"/>
        <v>0</v>
      </c>
      <c r="F447" s="10">
        <f t="shared" si="256"/>
        <v>0</v>
      </c>
      <c r="G447" s="10">
        <f t="shared" ref="G447:G448" si="257">SUM(H447:S447)</f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7">
        <f t="shared" si="239"/>
        <v>0</v>
      </c>
      <c r="U447" s="8">
        <f t="shared" si="252"/>
        <v>0</v>
      </c>
      <c r="V447" s="8"/>
      <c r="Z447" s="10"/>
      <c r="AA447" s="8"/>
      <c r="AI447" s="8"/>
    </row>
    <row r="448" spans="2:35" ht="10.5" customHeight="1" x14ac:dyDescent="0.25">
      <c r="B448" s="64" t="s">
        <v>856</v>
      </c>
      <c r="C448" s="67" t="s">
        <v>475</v>
      </c>
      <c r="D448" s="67" t="s">
        <v>578</v>
      </c>
      <c r="E448" s="51">
        <f t="shared" si="246"/>
        <v>0</v>
      </c>
      <c r="F448" s="10">
        <f t="shared" si="256"/>
        <v>0</v>
      </c>
      <c r="G448" s="10">
        <f t="shared" si="257"/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7">
        <f t="shared" si="239"/>
        <v>0</v>
      </c>
      <c r="U448" s="8">
        <f t="shared" si="252"/>
        <v>0</v>
      </c>
      <c r="V448" s="8"/>
      <c r="Z448" s="10"/>
      <c r="AA448" s="8"/>
      <c r="AI448" s="8"/>
    </row>
    <row r="449" spans="2:35" ht="10.5" customHeight="1" x14ac:dyDescent="0.25">
      <c r="B449" s="62" t="s">
        <v>857</v>
      </c>
      <c r="C449" s="85" t="s">
        <v>858</v>
      </c>
      <c r="D449" s="85"/>
      <c r="E449" s="51">
        <f t="shared" ref="E449:E451" si="258">SUM(H449:S449)-G449</f>
        <v>0</v>
      </c>
      <c r="F449" s="10"/>
      <c r="G449" s="63">
        <f t="shared" ref="G449:S449" si="259">+G450+G512+G519</f>
        <v>845884.63</v>
      </c>
      <c r="H449" s="63">
        <f t="shared" si="259"/>
        <v>225517.43999999997</v>
      </c>
      <c r="I449" s="63">
        <f t="shared" si="259"/>
        <v>162727.44999999998</v>
      </c>
      <c r="J449" s="63">
        <f t="shared" si="259"/>
        <v>39914.370000000003</v>
      </c>
      <c r="K449" s="63">
        <f t="shared" si="259"/>
        <v>42497.020000000004</v>
      </c>
      <c r="L449" s="63">
        <f t="shared" si="259"/>
        <v>30705.65</v>
      </c>
      <c r="M449" s="63">
        <f t="shared" si="259"/>
        <v>28503.99</v>
      </c>
      <c r="N449" s="63">
        <f t="shared" si="259"/>
        <v>32305.39</v>
      </c>
      <c r="O449" s="63">
        <f t="shared" si="259"/>
        <v>37260.080000000002</v>
      </c>
      <c r="P449" s="63">
        <f t="shared" si="259"/>
        <v>94576.38</v>
      </c>
      <c r="Q449" s="63">
        <f t="shared" si="259"/>
        <v>79682.17</v>
      </c>
      <c r="R449" s="63">
        <f t="shared" si="259"/>
        <v>43625.17</v>
      </c>
      <c r="S449" s="63">
        <f t="shared" si="259"/>
        <v>28569.52</v>
      </c>
      <c r="T449" s="7">
        <f t="shared" si="239"/>
        <v>845884.63000000012</v>
      </c>
      <c r="U449" s="8">
        <f t="shared" si="252"/>
        <v>0</v>
      </c>
      <c r="V449" s="8"/>
      <c r="Z449" s="63"/>
      <c r="AA449" s="8"/>
      <c r="AH449" s="61">
        <f t="shared" si="213"/>
        <v>-845884.63</v>
      </c>
      <c r="AI449" s="8"/>
    </row>
    <row r="450" spans="2:35" ht="9.75" customHeight="1" x14ac:dyDescent="0.25">
      <c r="B450" s="62" t="s">
        <v>859</v>
      </c>
      <c r="C450" s="62" t="s">
        <v>860</v>
      </c>
      <c r="D450" s="62"/>
      <c r="E450" s="51">
        <f t="shared" si="258"/>
        <v>0</v>
      </c>
      <c r="F450" s="10"/>
      <c r="G450" s="63">
        <f t="shared" ref="G450:S450" si="260">+G451+G458+G467+G479+G482+G496+G502+G477</f>
        <v>845884.63</v>
      </c>
      <c r="H450" s="63">
        <f t="shared" si="260"/>
        <v>225517.43999999997</v>
      </c>
      <c r="I450" s="63">
        <f t="shared" si="260"/>
        <v>162727.44999999998</v>
      </c>
      <c r="J450" s="63">
        <f t="shared" si="260"/>
        <v>39914.370000000003</v>
      </c>
      <c r="K450" s="63">
        <f t="shared" si="260"/>
        <v>42497.020000000004</v>
      </c>
      <c r="L450" s="63">
        <f t="shared" si="260"/>
        <v>30705.65</v>
      </c>
      <c r="M450" s="63">
        <f t="shared" si="260"/>
        <v>28503.99</v>
      </c>
      <c r="N450" s="63">
        <f t="shared" si="260"/>
        <v>32305.39</v>
      </c>
      <c r="O450" s="63">
        <f t="shared" si="260"/>
        <v>37260.080000000002</v>
      </c>
      <c r="P450" s="63">
        <f t="shared" si="260"/>
        <v>94576.38</v>
      </c>
      <c r="Q450" s="63">
        <f t="shared" si="260"/>
        <v>79682.17</v>
      </c>
      <c r="R450" s="63">
        <f t="shared" si="260"/>
        <v>43625.17</v>
      </c>
      <c r="S450" s="63">
        <f t="shared" si="260"/>
        <v>28569.52</v>
      </c>
      <c r="T450" s="7">
        <f t="shared" si="239"/>
        <v>845884.63000000012</v>
      </c>
      <c r="U450" s="8">
        <f t="shared" si="252"/>
        <v>0</v>
      </c>
      <c r="V450" s="8"/>
      <c r="Z450" s="63"/>
      <c r="AA450" s="8"/>
      <c r="AH450" s="61">
        <f t="shared" si="213"/>
        <v>-845884.63</v>
      </c>
      <c r="AI450" s="8"/>
    </row>
    <row r="451" spans="2:35" ht="9.75" customHeight="1" x14ac:dyDescent="0.25">
      <c r="B451" s="62" t="s">
        <v>861</v>
      </c>
      <c r="C451" s="62" t="s">
        <v>862</v>
      </c>
      <c r="D451" s="62"/>
      <c r="E451" s="51">
        <f t="shared" si="258"/>
        <v>0</v>
      </c>
      <c r="F451" s="10"/>
      <c r="G451" s="63">
        <f>SUM(G452:G457)</f>
        <v>123313.33</v>
      </c>
      <c r="H451" s="63">
        <f t="shared" ref="H451:S451" si="261">SUM(H452:H457)</f>
        <v>21574.720000000001</v>
      </c>
      <c r="I451" s="63">
        <f t="shared" si="261"/>
        <v>763.66</v>
      </c>
      <c r="J451" s="63">
        <f t="shared" si="261"/>
        <v>1612.15</v>
      </c>
      <c r="K451" s="63">
        <f t="shared" si="261"/>
        <v>8740</v>
      </c>
      <c r="L451" s="63">
        <f t="shared" si="261"/>
        <v>4123.05</v>
      </c>
      <c r="M451" s="63">
        <f t="shared" si="261"/>
        <v>5176.3100000000004</v>
      </c>
      <c r="N451" s="63">
        <f t="shared" si="261"/>
        <v>3981.99</v>
      </c>
      <c r="O451" s="63">
        <f t="shared" si="261"/>
        <v>8729.9699999999993</v>
      </c>
      <c r="P451" s="63">
        <f t="shared" si="261"/>
        <v>62011.48</v>
      </c>
      <c r="Q451" s="63">
        <f t="shared" si="261"/>
        <v>2200</v>
      </c>
      <c r="R451" s="63">
        <f t="shared" si="261"/>
        <v>2200</v>
      </c>
      <c r="S451" s="63">
        <f t="shared" si="261"/>
        <v>2200</v>
      </c>
      <c r="T451" s="7">
        <f t="shared" si="239"/>
        <v>123313.33</v>
      </c>
      <c r="U451" s="8">
        <f t="shared" si="252"/>
        <v>0</v>
      </c>
      <c r="V451" s="8"/>
      <c r="Z451" s="63"/>
      <c r="AA451" s="8"/>
      <c r="AH451" s="61">
        <f t="shared" si="213"/>
        <v>-123313.33</v>
      </c>
      <c r="AI451" s="8"/>
    </row>
    <row r="452" spans="2:35" ht="9.75" customHeight="1" x14ac:dyDescent="0.25">
      <c r="B452" s="64" t="s">
        <v>863</v>
      </c>
      <c r="C452" s="64" t="s">
        <v>864</v>
      </c>
      <c r="D452" s="64" t="s">
        <v>30</v>
      </c>
      <c r="E452" s="51">
        <f t="shared" ref="E452:E476" si="262">+F452-G452</f>
        <v>0</v>
      </c>
      <c r="F452" s="10">
        <f t="shared" si="212"/>
        <v>48307.270000000004</v>
      </c>
      <c r="G452" s="10">
        <f t="shared" ref="G452:G457" si="263">SUM(H452:S452)</f>
        <v>48307.270000000004</v>
      </c>
      <c r="H452" s="10">
        <v>16368.66</v>
      </c>
      <c r="I452" s="10">
        <v>763.66</v>
      </c>
      <c r="J452" s="10">
        <v>1612.15</v>
      </c>
      <c r="K452" s="10">
        <v>8740</v>
      </c>
      <c r="L452" s="10">
        <v>4123.05</v>
      </c>
      <c r="M452" s="10">
        <v>5176.3100000000004</v>
      </c>
      <c r="N452" s="10">
        <v>1781.99</v>
      </c>
      <c r="O452" s="10">
        <v>8729.9699999999993</v>
      </c>
      <c r="P452" s="10">
        <v>1011.48</v>
      </c>
      <c r="Q452" s="10">
        <v>0</v>
      </c>
      <c r="R452" s="10">
        <v>0</v>
      </c>
      <c r="S452" s="10">
        <v>0</v>
      </c>
      <c r="T452" s="7">
        <f t="shared" si="239"/>
        <v>48307.270000000004</v>
      </c>
      <c r="U452" s="8">
        <f t="shared" si="252"/>
        <v>0</v>
      </c>
      <c r="V452" s="8"/>
      <c r="Z452" s="10"/>
      <c r="AA452" s="8"/>
      <c r="AG452" s="10">
        <f>39688*1.03</f>
        <v>40878.639999999999</v>
      </c>
      <c r="AH452" s="61">
        <f t="shared" si="213"/>
        <v>-7428.6300000000047</v>
      </c>
      <c r="AI452" s="8">
        <f>+G452</f>
        <v>48307.270000000004</v>
      </c>
    </row>
    <row r="453" spans="2:35" ht="9.75" customHeight="1" x14ac:dyDescent="0.25">
      <c r="B453" s="64" t="s">
        <v>865</v>
      </c>
      <c r="C453" s="64" t="s">
        <v>866</v>
      </c>
      <c r="D453" s="64" t="s">
        <v>30</v>
      </c>
      <c r="E453" s="51">
        <f t="shared" si="262"/>
        <v>0</v>
      </c>
      <c r="F453" s="10">
        <f t="shared" si="212"/>
        <v>0</v>
      </c>
      <c r="G453" s="10">
        <f t="shared" si="263"/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  <c r="M453" s="10">
        <v>0</v>
      </c>
      <c r="N453" s="10"/>
      <c r="O453" s="10"/>
      <c r="P453" s="10">
        <v>0</v>
      </c>
      <c r="Q453" s="10">
        <v>0</v>
      </c>
      <c r="R453" s="10">
        <v>0</v>
      </c>
      <c r="S453" s="10">
        <v>0</v>
      </c>
      <c r="T453" s="7">
        <f t="shared" si="239"/>
        <v>0</v>
      </c>
      <c r="U453" s="8">
        <f t="shared" si="252"/>
        <v>0</v>
      </c>
      <c r="V453" s="8"/>
      <c r="Z453" s="10"/>
      <c r="AA453" s="8"/>
      <c r="AG453" s="10">
        <f>130870*1.03</f>
        <v>134796.1</v>
      </c>
      <c r="AH453" s="61">
        <f t="shared" si="213"/>
        <v>134796.1</v>
      </c>
      <c r="AI453" s="8">
        <f>+G453</f>
        <v>0</v>
      </c>
    </row>
    <row r="454" spans="2:35" ht="9.75" customHeight="1" x14ac:dyDescent="0.25">
      <c r="B454" s="64" t="s">
        <v>867</v>
      </c>
      <c r="C454" s="64" t="s">
        <v>868</v>
      </c>
      <c r="D454" s="64" t="s">
        <v>30</v>
      </c>
      <c r="E454" s="51">
        <f t="shared" si="262"/>
        <v>0</v>
      </c>
      <c r="F454" s="10">
        <f t="shared" si="212"/>
        <v>0</v>
      </c>
      <c r="G454" s="10">
        <f t="shared" si="263"/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/>
      <c r="O454" s="10"/>
      <c r="P454" s="10">
        <v>0</v>
      </c>
      <c r="Q454" s="10">
        <v>0</v>
      </c>
      <c r="R454" s="10">
        <v>0</v>
      </c>
      <c r="S454" s="10">
        <v>0</v>
      </c>
      <c r="T454" s="7">
        <f t="shared" si="239"/>
        <v>0</v>
      </c>
      <c r="U454" s="8">
        <f t="shared" si="252"/>
        <v>0</v>
      </c>
      <c r="V454" s="8"/>
      <c r="Z454" s="10"/>
      <c r="AA454" s="8"/>
      <c r="AG454" s="10">
        <f>106991.42*1.03</f>
        <v>110201.1626</v>
      </c>
      <c r="AH454" s="61">
        <f t="shared" si="213"/>
        <v>110201.1626</v>
      </c>
      <c r="AI454" s="8">
        <f>+G454</f>
        <v>0</v>
      </c>
    </row>
    <row r="455" spans="2:35" ht="9.75" customHeight="1" x14ac:dyDescent="0.25">
      <c r="B455" s="64" t="s">
        <v>869</v>
      </c>
      <c r="C455" s="64" t="s">
        <v>870</v>
      </c>
      <c r="D455" s="64" t="s">
        <v>448</v>
      </c>
      <c r="E455" s="51">
        <f t="shared" si="262"/>
        <v>0</v>
      </c>
      <c r="F455" s="10">
        <f t="shared" si="212"/>
        <v>0</v>
      </c>
      <c r="G455" s="10">
        <f t="shared" si="263"/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/>
      <c r="O455" s="10"/>
      <c r="P455" s="10"/>
      <c r="Q455" s="10">
        <v>0</v>
      </c>
      <c r="R455" s="10">
        <v>0</v>
      </c>
      <c r="S455" s="10">
        <v>0</v>
      </c>
      <c r="T455" s="7">
        <f t="shared" si="239"/>
        <v>0</v>
      </c>
      <c r="U455" s="8">
        <f t="shared" si="252"/>
        <v>0</v>
      </c>
      <c r="V455" s="8"/>
      <c r="Z455" s="10">
        <v>0</v>
      </c>
      <c r="AA455" s="8">
        <f t="shared" si="205"/>
        <v>0</v>
      </c>
      <c r="AH455" s="61">
        <f t="shared" si="213"/>
        <v>0</v>
      </c>
      <c r="AI455" s="8">
        <f>+G455</f>
        <v>0</v>
      </c>
    </row>
    <row r="456" spans="2:35" ht="9.75" customHeight="1" x14ac:dyDescent="0.25">
      <c r="B456" s="64" t="s">
        <v>871</v>
      </c>
      <c r="C456" s="64" t="s">
        <v>872</v>
      </c>
      <c r="D456" s="64" t="s">
        <v>30</v>
      </c>
      <c r="E456" s="51">
        <f t="shared" si="262"/>
        <v>0</v>
      </c>
      <c r="F456" s="10">
        <f t="shared" si="212"/>
        <v>74517.5</v>
      </c>
      <c r="G456" s="10">
        <f t="shared" si="263"/>
        <v>74517.5</v>
      </c>
      <c r="H456" s="10">
        <v>4717.5</v>
      </c>
      <c r="I456" s="10">
        <v>0</v>
      </c>
      <c r="J456" s="10">
        <v>0</v>
      </c>
      <c r="K456" s="10">
        <v>0</v>
      </c>
      <c r="L456" s="10">
        <v>0</v>
      </c>
      <c r="M456" s="10">
        <v>0</v>
      </c>
      <c r="N456" s="10">
        <v>2200</v>
      </c>
      <c r="O456" s="10"/>
      <c r="P456" s="10">
        <v>61000</v>
      </c>
      <c r="Q456" s="10">
        <v>2200</v>
      </c>
      <c r="R456" s="10">
        <v>2200</v>
      </c>
      <c r="S456" s="10">
        <v>2200</v>
      </c>
      <c r="T456" s="7">
        <f t="shared" si="239"/>
        <v>74517.5</v>
      </c>
      <c r="U456" s="8">
        <f t="shared" si="252"/>
        <v>0</v>
      </c>
      <c r="V456" s="8"/>
      <c r="Z456" s="10"/>
      <c r="AA456" s="8"/>
      <c r="AG456" s="10">
        <f>7500*1.03</f>
        <v>7725</v>
      </c>
      <c r="AH456" s="61">
        <f t="shared" si="213"/>
        <v>-66792.5</v>
      </c>
      <c r="AI456" s="8">
        <f>+G456</f>
        <v>74517.5</v>
      </c>
    </row>
    <row r="457" spans="2:35" ht="12" customHeight="1" x14ac:dyDescent="0.25">
      <c r="B457" s="67" t="s">
        <v>873</v>
      </c>
      <c r="C457" s="67" t="s">
        <v>874</v>
      </c>
      <c r="D457" s="64" t="s">
        <v>30</v>
      </c>
      <c r="E457" s="51">
        <f t="shared" si="262"/>
        <v>0</v>
      </c>
      <c r="F457" s="10">
        <f t="shared" si="212"/>
        <v>488.56</v>
      </c>
      <c r="G457" s="10">
        <f t="shared" si="263"/>
        <v>488.56</v>
      </c>
      <c r="H457" s="10">
        <v>488.56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/>
      <c r="O457" s="10"/>
      <c r="P457" s="10">
        <v>0</v>
      </c>
      <c r="Q457" s="10">
        <v>0</v>
      </c>
      <c r="R457" s="10">
        <v>0</v>
      </c>
      <c r="S457" s="10">
        <v>0</v>
      </c>
      <c r="T457" s="7">
        <f t="shared" si="239"/>
        <v>488.56</v>
      </c>
      <c r="U457" s="8">
        <f t="shared" si="252"/>
        <v>0</v>
      </c>
      <c r="V457" s="8"/>
      <c r="Z457" s="10"/>
      <c r="AA457" s="8"/>
      <c r="AI457" s="8"/>
    </row>
    <row r="458" spans="2:35" ht="25.5" customHeight="1" x14ac:dyDescent="0.25">
      <c r="B458" s="62" t="s">
        <v>875</v>
      </c>
      <c r="C458" s="71" t="s">
        <v>876</v>
      </c>
      <c r="D458" s="71"/>
      <c r="F458" s="10"/>
      <c r="G458" s="63">
        <f t="shared" ref="G458:S458" si="264">SUM(G459:G465)</f>
        <v>15391.13</v>
      </c>
      <c r="H458" s="63">
        <f t="shared" si="264"/>
        <v>0</v>
      </c>
      <c r="I458" s="63">
        <f t="shared" si="264"/>
        <v>0</v>
      </c>
      <c r="J458" s="63">
        <f t="shared" si="264"/>
        <v>1968.62</v>
      </c>
      <c r="K458" s="63">
        <f t="shared" si="264"/>
        <v>2952.94</v>
      </c>
      <c r="L458" s="63">
        <f t="shared" si="264"/>
        <v>0</v>
      </c>
      <c r="M458" s="63">
        <f t="shared" si="264"/>
        <v>0</v>
      </c>
      <c r="N458" s="63">
        <f t="shared" si="264"/>
        <v>0</v>
      </c>
      <c r="O458" s="63">
        <f t="shared" si="264"/>
        <v>1968.62</v>
      </c>
      <c r="P458" s="63">
        <f t="shared" si="264"/>
        <v>2833.65</v>
      </c>
      <c r="Q458" s="63">
        <f t="shared" si="264"/>
        <v>2833.65</v>
      </c>
      <c r="R458" s="63">
        <f t="shared" si="264"/>
        <v>2833.65</v>
      </c>
      <c r="S458" s="63">
        <f t="shared" si="264"/>
        <v>0</v>
      </c>
      <c r="T458" s="7">
        <f t="shared" si="239"/>
        <v>15391.13</v>
      </c>
      <c r="U458" s="8">
        <f t="shared" si="252"/>
        <v>0</v>
      </c>
      <c r="V458" s="8"/>
      <c r="Z458" s="63"/>
      <c r="AA458" s="8"/>
      <c r="AH458" s="61">
        <f t="shared" si="213"/>
        <v>-15391.13</v>
      </c>
      <c r="AI458" s="8"/>
    </row>
    <row r="459" spans="2:35" ht="9.75" customHeight="1" x14ac:dyDescent="0.25">
      <c r="B459" s="64" t="s">
        <v>877</v>
      </c>
      <c r="C459" s="64" t="s">
        <v>878</v>
      </c>
      <c r="D459" s="64" t="s">
        <v>132</v>
      </c>
      <c r="E459" s="51">
        <f t="shared" si="262"/>
        <v>0</v>
      </c>
      <c r="F459" s="10">
        <f t="shared" si="212"/>
        <v>15391.13</v>
      </c>
      <c r="G459" s="10">
        <f>SUM(H459:S459)</f>
        <v>15391.13</v>
      </c>
      <c r="H459" s="10">
        <v>0</v>
      </c>
      <c r="I459" s="10">
        <v>0</v>
      </c>
      <c r="J459" s="10">
        <v>1968.62</v>
      </c>
      <c r="K459" s="10">
        <v>2952.94</v>
      </c>
      <c r="L459" s="10">
        <v>0</v>
      </c>
      <c r="M459" s="10">
        <v>0</v>
      </c>
      <c r="N459" s="10"/>
      <c r="O459" s="10">
        <v>1968.62</v>
      </c>
      <c r="P459" s="10">
        <v>2833.65</v>
      </c>
      <c r="Q459" s="10">
        <v>2833.65</v>
      </c>
      <c r="R459" s="10">
        <v>2833.65</v>
      </c>
      <c r="S459" s="10">
        <v>0</v>
      </c>
      <c r="T459" s="7">
        <f t="shared" si="239"/>
        <v>15391.13</v>
      </c>
      <c r="U459" s="8">
        <f t="shared" si="252"/>
        <v>0</v>
      </c>
      <c r="V459" s="8"/>
      <c r="Z459" s="10"/>
      <c r="AA459" s="8"/>
      <c r="AG459" s="10">
        <f>37588.83*1.03</f>
        <v>38716.494900000005</v>
      </c>
      <c r="AH459" s="61">
        <f t="shared" si="213"/>
        <v>23325.364900000008</v>
      </c>
      <c r="AI459" s="8">
        <f>+G459</f>
        <v>15391.13</v>
      </c>
    </row>
    <row r="460" spans="2:35" ht="9.75" customHeight="1" x14ac:dyDescent="0.25">
      <c r="B460" s="64" t="s">
        <v>879</v>
      </c>
      <c r="C460" s="64" t="s">
        <v>880</v>
      </c>
      <c r="D460" s="64" t="s">
        <v>132</v>
      </c>
      <c r="E460" s="51">
        <f t="shared" si="262"/>
        <v>0</v>
      </c>
      <c r="F460" s="10">
        <f t="shared" si="212"/>
        <v>0</v>
      </c>
      <c r="G460" s="10">
        <f t="shared" ref="G460:G465" si="265">SUM(H460:S460)</f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7">
        <f t="shared" si="239"/>
        <v>0</v>
      </c>
      <c r="U460" s="8">
        <f t="shared" si="252"/>
        <v>0</v>
      </c>
      <c r="V460" s="8"/>
      <c r="Z460" s="10"/>
      <c r="AA460" s="8"/>
      <c r="AI460" s="8"/>
    </row>
    <row r="461" spans="2:35" ht="9.75" customHeight="1" x14ac:dyDescent="0.25">
      <c r="B461" s="64" t="s">
        <v>881</v>
      </c>
      <c r="C461" s="64" t="s">
        <v>882</v>
      </c>
      <c r="D461" s="64" t="s">
        <v>132</v>
      </c>
      <c r="E461" s="51">
        <f t="shared" si="262"/>
        <v>0</v>
      </c>
      <c r="F461" s="10">
        <f t="shared" si="212"/>
        <v>0</v>
      </c>
      <c r="G461" s="10">
        <f t="shared" si="265"/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7">
        <f t="shared" si="239"/>
        <v>0</v>
      </c>
      <c r="U461" s="8">
        <f t="shared" si="252"/>
        <v>0</v>
      </c>
      <c r="V461" s="8"/>
      <c r="Z461" s="10"/>
      <c r="AA461" s="8"/>
      <c r="AI461" s="8"/>
    </row>
    <row r="462" spans="2:35" ht="9.75" customHeight="1" x14ac:dyDescent="0.25">
      <c r="B462" s="64" t="s">
        <v>883</v>
      </c>
      <c r="C462" s="64" t="s">
        <v>884</v>
      </c>
      <c r="D462" s="64" t="s">
        <v>132</v>
      </c>
      <c r="E462" s="51">
        <f t="shared" si="262"/>
        <v>0</v>
      </c>
      <c r="F462" s="10">
        <f t="shared" si="212"/>
        <v>0</v>
      </c>
      <c r="G462" s="10">
        <f t="shared" si="265"/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7">
        <f t="shared" si="239"/>
        <v>0</v>
      </c>
      <c r="U462" s="8">
        <f t="shared" si="252"/>
        <v>0</v>
      </c>
      <c r="V462" s="8"/>
      <c r="Z462" s="10"/>
      <c r="AA462" s="8"/>
      <c r="AI462" s="8"/>
    </row>
    <row r="463" spans="2:35" ht="9.75" customHeight="1" x14ac:dyDescent="0.25">
      <c r="B463" s="64" t="s">
        <v>885</v>
      </c>
      <c r="C463" s="64" t="s">
        <v>886</v>
      </c>
      <c r="D463" s="64" t="s">
        <v>132</v>
      </c>
      <c r="E463" s="51">
        <f t="shared" si="262"/>
        <v>0</v>
      </c>
      <c r="F463" s="10">
        <f t="shared" si="212"/>
        <v>0</v>
      </c>
      <c r="G463" s="10">
        <f t="shared" si="265"/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7">
        <f t="shared" si="239"/>
        <v>0</v>
      </c>
      <c r="U463" s="8">
        <f t="shared" si="252"/>
        <v>0</v>
      </c>
      <c r="V463" s="8"/>
      <c r="Z463" s="10"/>
      <c r="AA463" s="8"/>
      <c r="AI463" s="8"/>
    </row>
    <row r="464" spans="2:35" ht="9.75" customHeight="1" x14ac:dyDescent="0.25">
      <c r="B464" s="64" t="s">
        <v>887</v>
      </c>
      <c r="C464" s="64" t="s">
        <v>888</v>
      </c>
      <c r="D464" s="64" t="s">
        <v>132</v>
      </c>
      <c r="E464" s="51">
        <f t="shared" si="262"/>
        <v>0</v>
      </c>
      <c r="F464" s="10">
        <f t="shared" si="212"/>
        <v>0</v>
      </c>
      <c r="G464" s="10">
        <f t="shared" si="265"/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7">
        <f t="shared" si="239"/>
        <v>0</v>
      </c>
      <c r="U464" s="8">
        <f t="shared" si="252"/>
        <v>0</v>
      </c>
      <c r="V464" s="8"/>
      <c r="Z464" s="10"/>
      <c r="AA464" s="8"/>
      <c r="AI464" s="8"/>
    </row>
    <row r="465" spans="2:35" ht="9.75" customHeight="1" x14ac:dyDescent="0.25">
      <c r="B465" s="64" t="s">
        <v>889</v>
      </c>
      <c r="C465" s="64" t="s">
        <v>890</v>
      </c>
      <c r="D465" s="64" t="s">
        <v>132</v>
      </c>
      <c r="E465" s="51">
        <f t="shared" si="262"/>
        <v>0</v>
      </c>
      <c r="F465" s="10">
        <f t="shared" si="212"/>
        <v>0</v>
      </c>
      <c r="G465" s="10">
        <f t="shared" si="265"/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7">
        <f t="shared" si="239"/>
        <v>0</v>
      </c>
      <c r="U465" s="8">
        <f t="shared" si="252"/>
        <v>0</v>
      </c>
      <c r="V465" s="8"/>
      <c r="Z465" s="10"/>
      <c r="AA465" s="8"/>
      <c r="AI465" s="8"/>
    </row>
    <row r="466" spans="2:35" ht="9.75" customHeight="1" x14ac:dyDescent="0.25">
      <c r="B466" s="64"/>
      <c r="C466" s="64"/>
      <c r="D466" s="64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7"/>
      <c r="U466" s="8"/>
      <c r="V466" s="8"/>
      <c r="Z466" s="10"/>
      <c r="AA466" s="8"/>
      <c r="AI466" s="8"/>
    </row>
    <row r="467" spans="2:35" ht="9.75" customHeight="1" x14ac:dyDescent="0.25">
      <c r="B467" s="62" t="s">
        <v>891</v>
      </c>
      <c r="C467" s="62" t="s">
        <v>892</v>
      </c>
      <c r="D467" s="62"/>
      <c r="F467" s="10"/>
      <c r="G467" s="63">
        <f>SUM(G468:G476)</f>
        <v>41533.109999999993</v>
      </c>
      <c r="H467" s="63">
        <f t="shared" ref="H467:S467" si="266">SUM(H468:H476)</f>
        <v>5091.3</v>
      </c>
      <c r="I467" s="63">
        <f t="shared" si="266"/>
        <v>19821.53</v>
      </c>
      <c r="J467" s="63">
        <f t="shared" si="266"/>
        <v>0</v>
      </c>
      <c r="K467" s="63">
        <f t="shared" si="266"/>
        <v>0</v>
      </c>
      <c r="L467" s="63">
        <f t="shared" si="266"/>
        <v>0</v>
      </c>
      <c r="M467" s="63">
        <f t="shared" si="266"/>
        <v>0</v>
      </c>
      <c r="N467" s="63">
        <f t="shared" si="266"/>
        <v>600</v>
      </c>
      <c r="O467" s="63">
        <f t="shared" si="266"/>
        <v>960</v>
      </c>
      <c r="P467" s="63">
        <f t="shared" si="266"/>
        <v>15060.279999999999</v>
      </c>
      <c r="Q467" s="63">
        <f t="shared" si="266"/>
        <v>0</v>
      </c>
      <c r="R467" s="63">
        <f t="shared" si="266"/>
        <v>0</v>
      </c>
      <c r="S467" s="63">
        <f t="shared" si="266"/>
        <v>0</v>
      </c>
      <c r="T467" s="7">
        <f t="shared" si="239"/>
        <v>41533.11</v>
      </c>
      <c r="U467" s="8">
        <f t="shared" si="252"/>
        <v>0</v>
      </c>
      <c r="V467" s="8"/>
      <c r="Z467" s="63"/>
      <c r="AA467" s="8"/>
      <c r="AH467" s="61">
        <f t="shared" ref="AH467:AH528" si="267">+AG467-G467</f>
        <v>-41533.109999999993</v>
      </c>
      <c r="AI467" s="8"/>
    </row>
    <row r="468" spans="2:35" ht="23.25" customHeight="1" x14ac:dyDescent="0.25">
      <c r="B468" s="64" t="s">
        <v>893</v>
      </c>
      <c r="C468" s="73" t="s">
        <v>894</v>
      </c>
      <c r="D468" s="73" t="s">
        <v>30</v>
      </c>
      <c r="E468" s="51">
        <f t="shared" si="262"/>
        <v>0</v>
      </c>
      <c r="F468" s="10">
        <f t="shared" si="212"/>
        <v>36311.53</v>
      </c>
      <c r="G468" s="10">
        <f>SUM(H468:S468)</f>
        <v>36311.53</v>
      </c>
      <c r="H468" s="10">
        <v>0</v>
      </c>
      <c r="I468" s="10">
        <v>19821.53</v>
      </c>
      <c r="J468" s="10">
        <v>0</v>
      </c>
      <c r="K468" s="10">
        <v>0</v>
      </c>
      <c r="L468" s="10">
        <v>0</v>
      </c>
      <c r="M468" s="10">
        <v>0</v>
      </c>
      <c r="N468" s="10">
        <v>600</v>
      </c>
      <c r="O468" s="10">
        <v>960</v>
      </c>
      <c r="P468" s="10">
        <v>14930</v>
      </c>
      <c r="Q468" s="10">
        <v>0</v>
      </c>
      <c r="R468" s="10">
        <v>0</v>
      </c>
      <c r="S468" s="10">
        <v>0</v>
      </c>
      <c r="T468" s="7">
        <f t="shared" si="239"/>
        <v>36311.53</v>
      </c>
      <c r="U468" s="8">
        <f t="shared" si="252"/>
        <v>0</v>
      </c>
      <c r="V468" s="8"/>
      <c r="Z468" s="10"/>
      <c r="AA468" s="8"/>
      <c r="AG468" s="10">
        <f>55251.59*1.03</f>
        <v>56909.137699999999</v>
      </c>
      <c r="AH468" s="61">
        <f t="shared" si="267"/>
        <v>20597.6077</v>
      </c>
      <c r="AI468" s="8">
        <f>+G468</f>
        <v>36311.53</v>
      </c>
    </row>
    <row r="469" spans="2:35" ht="18.75" customHeight="1" x14ac:dyDescent="0.25">
      <c r="B469" s="64" t="s">
        <v>895</v>
      </c>
      <c r="C469" s="73" t="s">
        <v>896</v>
      </c>
      <c r="D469" s="73" t="s">
        <v>30</v>
      </c>
      <c r="E469" s="51">
        <f t="shared" si="262"/>
        <v>0</v>
      </c>
      <c r="F469" s="10">
        <f t="shared" si="212"/>
        <v>0</v>
      </c>
      <c r="G469" s="10">
        <f t="shared" ref="G469:G476" si="268">SUM(H469:S469)</f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7">
        <f t="shared" si="239"/>
        <v>0</v>
      </c>
      <c r="U469" s="8">
        <f t="shared" si="252"/>
        <v>0</v>
      </c>
      <c r="V469" s="8"/>
      <c r="Z469" s="10"/>
      <c r="AA469" s="8"/>
      <c r="AI469" s="8"/>
    </row>
    <row r="470" spans="2:35" ht="24.75" customHeight="1" x14ac:dyDescent="0.25">
      <c r="B470" s="64" t="s">
        <v>897</v>
      </c>
      <c r="C470" s="73" t="s">
        <v>898</v>
      </c>
      <c r="D470" s="73" t="s">
        <v>30</v>
      </c>
      <c r="E470" s="51">
        <f t="shared" si="262"/>
        <v>0</v>
      </c>
      <c r="F470" s="10">
        <f t="shared" si="212"/>
        <v>0</v>
      </c>
      <c r="G470" s="10">
        <f t="shared" si="268"/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0</v>
      </c>
      <c r="R470" s="10">
        <v>0</v>
      </c>
      <c r="S470" s="10">
        <v>0</v>
      </c>
      <c r="T470" s="7">
        <f t="shared" si="239"/>
        <v>0</v>
      </c>
      <c r="U470" s="8">
        <f t="shared" si="252"/>
        <v>0</v>
      </c>
      <c r="V470" s="8"/>
      <c r="Z470" s="10">
        <v>57268.69</v>
      </c>
      <c r="AA470" s="8">
        <f t="shared" si="205"/>
        <v>57268.69</v>
      </c>
      <c r="AG470" s="10">
        <f>350*1.03</f>
        <v>360.5</v>
      </c>
      <c r="AH470" s="61">
        <f t="shared" si="267"/>
        <v>360.5</v>
      </c>
      <c r="AI470" s="8">
        <f>+G470</f>
        <v>0</v>
      </c>
    </row>
    <row r="471" spans="2:35" ht="30" customHeight="1" x14ac:dyDescent="0.25">
      <c r="B471" s="64" t="s">
        <v>899</v>
      </c>
      <c r="C471" s="73" t="s">
        <v>900</v>
      </c>
      <c r="D471" s="73" t="s">
        <v>30</v>
      </c>
      <c r="E471" s="51">
        <f>+F471-G471</f>
        <v>0</v>
      </c>
      <c r="F471" s="10">
        <f t="shared" si="212"/>
        <v>0</v>
      </c>
      <c r="G471" s="10">
        <f t="shared" si="268"/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0</v>
      </c>
      <c r="R471" s="10">
        <v>0</v>
      </c>
      <c r="S471" s="10">
        <v>0</v>
      </c>
      <c r="T471" s="7">
        <f t="shared" si="239"/>
        <v>0</v>
      </c>
      <c r="U471" s="8">
        <f t="shared" si="252"/>
        <v>0</v>
      </c>
      <c r="V471" s="8"/>
      <c r="Z471" s="10"/>
      <c r="AA471" s="8"/>
      <c r="AI471" s="8"/>
    </row>
    <row r="472" spans="2:35" ht="24" customHeight="1" x14ac:dyDescent="0.25">
      <c r="B472" s="64" t="s">
        <v>901</v>
      </c>
      <c r="C472" s="73" t="s">
        <v>902</v>
      </c>
      <c r="D472" s="73" t="s">
        <v>30</v>
      </c>
      <c r="E472" s="51">
        <f t="shared" si="262"/>
        <v>0</v>
      </c>
      <c r="F472" s="10">
        <f t="shared" si="212"/>
        <v>0</v>
      </c>
      <c r="G472" s="10">
        <f t="shared" si="268"/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7">
        <f t="shared" si="239"/>
        <v>0</v>
      </c>
      <c r="U472" s="8">
        <f t="shared" si="252"/>
        <v>0</v>
      </c>
      <c r="V472" s="8"/>
      <c r="Z472" s="10">
        <v>0</v>
      </c>
      <c r="AA472" s="8">
        <f t="shared" si="205"/>
        <v>0</v>
      </c>
      <c r="AG472" s="10">
        <f>5915*1.03</f>
        <v>6092.45</v>
      </c>
      <c r="AH472" s="61">
        <f t="shared" si="267"/>
        <v>6092.45</v>
      </c>
      <c r="AI472" s="8">
        <f>+G472</f>
        <v>0</v>
      </c>
    </row>
    <row r="473" spans="2:35" ht="18" customHeight="1" x14ac:dyDescent="0.25">
      <c r="B473" s="64" t="s">
        <v>903</v>
      </c>
      <c r="C473" s="73" t="s">
        <v>904</v>
      </c>
      <c r="D473" s="73" t="s">
        <v>30</v>
      </c>
      <c r="E473" s="51">
        <f>+F473-G473</f>
        <v>0</v>
      </c>
      <c r="F473" s="10">
        <f t="shared" si="212"/>
        <v>65.14</v>
      </c>
      <c r="G473" s="10">
        <f t="shared" si="268"/>
        <v>65.14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/>
      <c r="P473" s="10">
        <v>65.14</v>
      </c>
      <c r="Q473" s="10">
        <v>0</v>
      </c>
      <c r="R473" s="10">
        <v>0</v>
      </c>
      <c r="S473" s="10">
        <v>0</v>
      </c>
      <c r="T473" s="7">
        <f t="shared" si="239"/>
        <v>65.14</v>
      </c>
      <c r="U473" s="8">
        <f t="shared" si="252"/>
        <v>0</v>
      </c>
      <c r="V473" s="8"/>
      <c r="Z473" s="10"/>
      <c r="AA473" s="8"/>
      <c r="AG473" s="10">
        <f>985*1.03</f>
        <v>1014.5500000000001</v>
      </c>
      <c r="AH473" s="61">
        <f>+AG473-G473</f>
        <v>949.41000000000008</v>
      </c>
      <c r="AI473" s="8">
        <f>+G473</f>
        <v>65.14</v>
      </c>
    </row>
    <row r="474" spans="2:35" ht="18" customHeight="1" x14ac:dyDescent="0.25">
      <c r="B474" s="64" t="s">
        <v>905</v>
      </c>
      <c r="C474" s="73" t="s">
        <v>906</v>
      </c>
      <c r="D474" s="73" t="s">
        <v>30</v>
      </c>
      <c r="E474" s="51">
        <f>+F474-G474</f>
        <v>0</v>
      </c>
      <c r="F474" s="10">
        <f t="shared" si="212"/>
        <v>630.84</v>
      </c>
      <c r="G474" s="10">
        <f t="shared" ref="G474:G475" si="269">SUM(H474:S474)</f>
        <v>630.84</v>
      </c>
      <c r="H474" s="10">
        <v>565.70000000000005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/>
      <c r="P474" s="10">
        <v>65.14</v>
      </c>
      <c r="Q474" s="10">
        <v>0</v>
      </c>
      <c r="R474" s="10">
        <v>0</v>
      </c>
      <c r="S474" s="10">
        <v>0</v>
      </c>
      <c r="T474" s="7">
        <f t="shared" ref="T474:T475" si="270">SUM(H474:S474)</f>
        <v>630.84</v>
      </c>
      <c r="U474" s="8">
        <f t="shared" si="252"/>
        <v>0</v>
      </c>
      <c r="V474" s="8"/>
      <c r="Z474" s="10"/>
      <c r="AA474" s="8"/>
      <c r="AG474" s="10">
        <f>985*1.03</f>
        <v>1014.5500000000001</v>
      </c>
      <c r="AH474" s="61">
        <f>+AG474-G474</f>
        <v>383.71000000000004</v>
      </c>
      <c r="AI474" s="8">
        <f>+G474</f>
        <v>630.84</v>
      </c>
    </row>
    <row r="475" spans="2:35" ht="18" customHeight="1" x14ac:dyDescent="0.25">
      <c r="B475" s="64" t="s">
        <v>907</v>
      </c>
      <c r="C475" s="73" t="s">
        <v>908</v>
      </c>
      <c r="D475" s="73" t="s">
        <v>30</v>
      </c>
      <c r="E475" s="51">
        <f>+F475-G475</f>
        <v>0</v>
      </c>
      <c r="F475" s="10">
        <f t="shared" si="212"/>
        <v>4525.6000000000004</v>
      </c>
      <c r="G475" s="10">
        <f t="shared" si="269"/>
        <v>4525.6000000000004</v>
      </c>
      <c r="H475" s="10">
        <v>4525.6000000000004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/>
      <c r="P475" s="10">
        <v>0</v>
      </c>
      <c r="Q475" s="10">
        <v>0</v>
      </c>
      <c r="R475" s="10">
        <v>0</v>
      </c>
      <c r="S475" s="10">
        <v>0</v>
      </c>
      <c r="T475" s="7">
        <f t="shared" si="270"/>
        <v>4525.6000000000004</v>
      </c>
      <c r="U475" s="8">
        <f t="shared" si="252"/>
        <v>0</v>
      </c>
      <c r="V475" s="8"/>
      <c r="Z475" s="10"/>
      <c r="AA475" s="8"/>
      <c r="AG475" s="10">
        <f>985*1.03</f>
        <v>1014.5500000000001</v>
      </c>
      <c r="AH475" s="61">
        <f>+AG475-G475</f>
        <v>-3511.05</v>
      </c>
      <c r="AI475" s="8">
        <f>+G475</f>
        <v>4525.6000000000004</v>
      </c>
    </row>
    <row r="476" spans="2:35" ht="9.75" customHeight="1" x14ac:dyDescent="0.25">
      <c r="B476" s="67" t="s">
        <v>909</v>
      </c>
      <c r="C476" s="67" t="s">
        <v>910</v>
      </c>
      <c r="D476" s="73" t="s">
        <v>132</v>
      </c>
      <c r="E476" s="51">
        <f t="shared" si="262"/>
        <v>0</v>
      </c>
      <c r="F476" s="10">
        <f t="shared" si="212"/>
        <v>0</v>
      </c>
      <c r="G476" s="10">
        <f t="shared" si="268"/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7">
        <f t="shared" si="239"/>
        <v>0</v>
      </c>
      <c r="U476" s="8">
        <f t="shared" si="252"/>
        <v>0</v>
      </c>
      <c r="V476" s="8"/>
      <c r="Z476" s="10"/>
      <c r="AA476" s="8"/>
      <c r="AI476" s="8"/>
    </row>
    <row r="477" spans="2:35" ht="9.75" customHeight="1" x14ac:dyDescent="0.25">
      <c r="B477" s="62" t="s">
        <v>911</v>
      </c>
      <c r="C477" s="62" t="s">
        <v>912</v>
      </c>
      <c r="D477" s="62"/>
      <c r="F477" s="10"/>
      <c r="G477" s="63">
        <f>+G478</f>
        <v>172700</v>
      </c>
      <c r="H477" s="63">
        <f>+H478</f>
        <v>17800</v>
      </c>
      <c r="I477" s="63">
        <f t="shared" ref="I477:S477" si="271">+I478</f>
        <v>17400</v>
      </c>
      <c r="J477" s="63">
        <f t="shared" si="271"/>
        <v>15800</v>
      </c>
      <c r="K477" s="63">
        <f t="shared" si="271"/>
        <v>15550</v>
      </c>
      <c r="L477" s="63">
        <f t="shared" si="271"/>
        <v>16500</v>
      </c>
      <c r="M477" s="63">
        <f t="shared" si="271"/>
        <v>11750</v>
      </c>
      <c r="N477" s="63">
        <f t="shared" si="271"/>
        <v>19150</v>
      </c>
      <c r="O477" s="63">
        <f t="shared" si="271"/>
        <v>11750</v>
      </c>
      <c r="P477" s="63">
        <f t="shared" si="271"/>
        <v>11750</v>
      </c>
      <c r="Q477" s="63">
        <f t="shared" si="271"/>
        <v>11750</v>
      </c>
      <c r="R477" s="63">
        <f t="shared" si="271"/>
        <v>11750</v>
      </c>
      <c r="S477" s="63">
        <f t="shared" si="271"/>
        <v>11750</v>
      </c>
      <c r="T477" s="7">
        <f t="shared" si="239"/>
        <v>172700</v>
      </c>
      <c r="U477" s="8">
        <f t="shared" si="252"/>
        <v>0</v>
      </c>
      <c r="V477" s="8"/>
      <c r="Z477" s="10"/>
      <c r="AA477" s="8"/>
      <c r="AI477" s="8"/>
    </row>
    <row r="478" spans="2:35" ht="9.75" customHeight="1" x14ac:dyDescent="0.25">
      <c r="B478" s="64" t="s">
        <v>913</v>
      </c>
      <c r="C478" s="64" t="s">
        <v>910</v>
      </c>
      <c r="D478" s="73" t="s">
        <v>132</v>
      </c>
      <c r="E478" s="51">
        <f t="shared" ref="E478:E541" si="272">+F478-G478</f>
        <v>0</v>
      </c>
      <c r="F478" s="10">
        <f t="shared" si="212"/>
        <v>172700</v>
      </c>
      <c r="G478" s="10">
        <f t="shared" ref="G478" si="273">SUM(H478:S478)</f>
        <v>172700</v>
      </c>
      <c r="H478" s="10">
        <v>17800</v>
      </c>
      <c r="I478" s="10">
        <v>17400</v>
      </c>
      <c r="J478" s="10">
        <v>15800</v>
      </c>
      <c r="K478" s="10">
        <v>15550</v>
      </c>
      <c r="L478" s="10">
        <v>16500</v>
      </c>
      <c r="M478" s="10">
        <v>11750</v>
      </c>
      <c r="N478" s="10">
        <v>19150</v>
      </c>
      <c r="O478" s="10">
        <v>11750</v>
      </c>
      <c r="P478" s="10">
        <v>11750</v>
      </c>
      <c r="Q478" s="10">
        <v>11750</v>
      </c>
      <c r="R478" s="10">
        <v>11750</v>
      </c>
      <c r="S478" s="10">
        <v>11750</v>
      </c>
      <c r="T478" s="7">
        <f t="shared" si="239"/>
        <v>172700</v>
      </c>
      <c r="U478" s="8">
        <f t="shared" si="252"/>
        <v>0</v>
      </c>
      <c r="V478" s="8"/>
      <c r="Z478" s="10"/>
      <c r="AA478" s="8"/>
      <c r="AI478" s="8"/>
    </row>
    <row r="479" spans="2:35" ht="9.75" customHeight="1" x14ac:dyDescent="0.25">
      <c r="B479" s="62" t="s">
        <v>914</v>
      </c>
      <c r="C479" s="62" t="s">
        <v>915</v>
      </c>
      <c r="D479" s="62"/>
      <c r="F479" s="10"/>
      <c r="G479" s="63">
        <f>+G480</f>
        <v>0</v>
      </c>
      <c r="H479" s="63">
        <f t="shared" ref="H479:Z480" si="274">+H480</f>
        <v>0</v>
      </c>
      <c r="I479" s="63">
        <f t="shared" si="274"/>
        <v>0</v>
      </c>
      <c r="J479" s="63">
        <f t="shared" si="274"/>
        <v>0</v>
      </c>
      <c r="K479" s="63">
        <f t="shared" si="274"/>
        <v>0</v>
      </c>
      <c r="L479" s="63">
        <f t="shared" si="274"/>
        <v>0</v>
      </c>
      <c r="M479" s="63">
        <f t="shared" si="274"/>
        <v>0</v>
      </c>
      <c r="N479" s="63">
        <f t="shared" si="274"/>
        <v>0</v>
      </c>
      <c r="O479" s="63">
        <f t="shared" si="274"/>
        <v>0</v>
      </c>
      <c r="P479" s="63">
        <f t="shared" si="274"/>
        <v>0</v>
      </c>
      <c r="Q479" s="63">
        <f t="shared" si="274"/>
        <v>0</v>
      </c>
      <c r="R479" s="63">
        <f t="shared" si="274"/>
        <v>0</v>
      </c>
      <c r="S479" s="63">
        <f t="shared" si="274"/>
        <v>0</v>
      </c>
      <c r="T479" s="7">
        <f t="shared" si="239"/>
        <v>0</v>
      </c>
      <c r="U479" s="8">
        <f t="shared" si="252"/>
        <v>0</v>
      </c>
      <c r="V479" s="8"/>
      <c r="Z479" s="63">
        <f t="shared" si="274"/>
        <v>0</v>
      </c>
      <c r="AA479" s="8">
        <f t="shared" si="205"/>
        <v>0</v>
      </c>
      <c r="AH479" s="61">
        <f t="shared" si="267"/>
        <v>0</v>
      </c>
      <c r="AI479" s="8"/>
    </row>
    <row r="480" spans="2:35" ht="9.75" customHeight="1" x14ac:dyDescent="0.25">
      <c r="B480" s="62" t="s">
        <v>916</v>
      </c>
      <c r="C480" s="62" t="s">
        <v>917</v>
      </c>
      <c r="D480" s="62"/>
      <c r="F480" s="10"/>
      <c r="G480" s="63">
        <f>+G481</f>
        <v>0</v>
      </c>
      <c r="H480" s="63">
        <f t="shared" si="274"/>
        <v>0</v>
      </c>
      <c r="I480" s="63">
        <f t="shared" si="274"/>
        <v>0</v>
      </c>
      <c r="J480" s="63">
        <f t="shared" si="274"/>
        <v>0</v>
      </c>
      <c r="K480" s="63">
        <f t="shared" si="274"/>
        <v>0</v>
      </c>
      <c r="L480" s="63">
        <f t="shared" si="274"/>
        <v>0</v>
      </c>
      <c r="M480" s="63">
        <f t="shared" si="274"/>
        <v>0</v>
      </c>
      <c r="N480" s="63">
        <f t="shared" si="274"/>
        <v>0</v>
      </c>
      <c r="O480" s="63">
        <f t="shared" si="274"/>
        <v>0</v>
      </c>
      <c r="P480" s="63">
        <f t="shared" si="274"/>
        <v>0</v>
      </c>
      <c r="Q480" s="63">
        <f t="shared" si="274"/>
        <v>0</v>
      </c>
      <c r="R480" s="63">
        <f t="shared" si="274"/>
        <v>0</v>
      </c>
      <c r="S480" s="63">
        <f t="shared" si="274"/>
        <v>0</v>
      </c>
      <c r="T480" s="7">
        <f t="shared" si="239"/>
        <v>0</v>
      </c>
      <c r="U480" s="8">
        <f t="shared" si="252"/>
        <v>0</v>
      </c>
      <c r="V480" s="8"/>
      <c r="Z480" s="63">
        <f t="shared" si="274"/>
        <v>0</v>
      </c>
      <c r="AA480" s="8">
        <f t="shared" si="205"/>
        <v>0</v>
      </c>
      <c r="AH480" s="61">
        <f t="shared" si="267"/>
        <v>0</v>
      </c>
      <c r="AI480" s="8"/>
    </row>
    <row r="481" spans="2:35" ht="9.75" customHeight="1" x14ac:dyDescent="0.25">
      <c r="B481" s="64" t="s">
        <v>918</v>
      </c>
      <c r="C481" s="64" t="s">
        <v>917</v>
      </c>
      <c r="D481" s="64" t="s">
        <v>30</v>
      </c>
      <c r="E481" s="51">
        <f t="shared" si="272"/>
        <v>0</v>
      </c>
      <c r="F481" s="10">
        <f t="shared" si="212"/>
        <v>0</v>
      </c>
      <c r="G481" s="10">
        <f>SUM(H481:S481)</f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7">
        <f t="shared" si="239"/>
        <v>0</v>
      </c>
      <c r="U481" s="8">
        <f t="shared" si="252"/>
        <v>0</v>
      </c>
      <c r="V481" s="8"/>
      <c r="Z481" s="10">
        <v>0</v>
      </c>
      <c r="AA481" s="8">
        <f t="shared" si="205"/>
        <v>0</v>
      </c>
      <c r="AH481" s="61">
        <f t="shared" si="267"/>
        <v>0</v>
      </c>
      <c r="AI481" s="8">
        <f>+G481</f>
        <v>0</v>
      </c>
    </row>
    <row r="482" spans="2:35" ht="9.75" customHeight="1" x14ac:dyDescent="0.25">
      <c r="B482" s="62" t="s">
        <v>919</v>
      </c>
      <c r="C482" s="62" t="s">
        <v>920</v>
      </c>
      <c r="D482" s="62"/>
      <c r="F482" s="10"/>
      <c r="G482" s="63">
        <f>SUM(G483:G495)</f>
        <v>363334.57</v>
      </c>
      <c r="H482" s="63">
        <f t="shared" ref="H482:S482" si="275">SUM(H483:H495)</f>
        <v>164127.54999999999</v>
      </c>
      <c r="I482" s="63">
        <f t="shared" si="275"/>
        <v>111487.02</v>
      </c>
      <c r="J482" s="63">
        <f t="shared" si="275"/>
        <v>4266</v>
      </c>
      <c r="K482" s="63">
        <f t="shared" si="275"/>
        <v>1500</v>
      </c>
      <c r="L482" s="63">
        <f t="shared" si="275"/>
        <v>0</v>
      </c>
      <c r="M482" s="63">
        <f t="shared" si="275"/>
        <v>0</v>
      </c>
      <c r="N482" s="63">
        <f t="shared" si="275"/>
        <v>0</v>
      </c>
      <c r="O482" s="63">
        <f t="shared" si="275"/>
        <v>0</v>
      </c>
      <c r="P482" s="63">
        <f t="shared" si="275"/>
        <v>0</v>
      </c>
      <c r="Q482" s="63">
        <f t="shared" si="275"/>
        <v>56954</v>
      </c>
      <c r="R482" s="63">
        <f t="shared" si="275"/>
        <v>15000</v>
      </c>
      <c r="S482" s="63">
        <f t="shared" si="275"/>
        <v>10000</v>
      </c>
      <c r="T482" s="7">
        <f t="shared" si="239"/>
        <v>363334.57</v>
      </c>
      <c r="U482" s="8">
        <f t="shared" si="252"/>
        <v>0</v>
      </c>
      <c r="V482" s="8"/>
      <c r="Z482" s="63"/>
      <c r="AA482" s="8"/>
      <c r="AH482" s="61">
        <f t="shared" si="267"/>
        <v>-363334.57</v>
      </c>
      <c r="AI482" s="8"/>
    </row>
    <row r="483" spans="2:35" ht="9.75" customHeight="1" x14ac:dyDescent="0.25">
      <c r="B483" s="64" t="s">
        <v>921</v>
      </c>
      <c r="C483" s="64" t="s">
        <v>922</v>
      </c>
      <c r="D483" s="64" t="s">
        <v>448</v>
      </c>
      <c r="E483" s="51">
        <f t="shared" si="272"/>
        <v>0</v>
      </c>
      <c r="F483" s="10">
        <f t="shared" si="212"/>
        <v>0</v>
      </c>
      <c r="G483" s="10">
        <f>SUM(H483:S483)</f>
        <v>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7">
        <f t="shared" si="239"/>
        <v>0</v>
      </c>
      <c r="U483" s="8">
        <f t="shared" si="252"/>
        <v>0</v>
      </c>
      <c r="V483" s="8"/>
      <c r="Z483" s="10">
        <v>0</v>
      </c>
      <c r="AA483" s="8">
        <f t="shared" si="205"/>
        <v>0</v>
      </c>
      <c r="AH483" s="61">
        <f t="shared" si="267"/>
        <v>0</v>
      </c>
      <c r="AI483" s="8">
        <f>+G483</f>
        <v>0</v>
      </c>
    </row>
    <row r="484" spans="2:35" ht="9.75" customHeight="1" x14ac:dyDescent="0.25">
      <c r="B484" s="64" t="s">
        <v>923</v>
      </c>
      <c r="C484" s="64" t="s">
        <v>924</v>
      </c>
      <c r="D484" s="64" t="s">
        <v>925</v>
      </c>
      <c r="E484" s="51">
        <f t="shared" si="272"/>
        <v>0</v>
      </c>
      <c r="F484" s="10">
        <f t="shared" si="212"/>
        <v>0</v>
      </c>
      <c r="G484" s="10">
        <f>SUM(H484:S484)</f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10">
        <v>0</v>
      </c>
      <c r="S484" s="10">
        <v>0</v>
      </c>
      <c r="T484" s="7">
        <f t="shared" si="239"/>
        <v>0</v>
      </c>
      <c r="U484" s="8">
        <f t="shared" si="252"/>
        <v>0</v>
      </c>
      <c r="V484" s="8"/>
      <c r="Z484" s="10"/>
      <c r="AA484" s="8"/>
      <c r="AI484" s="8"/>
    </row>
    <row r="485" spans="2:35" ht="9.75" customHeight="1" x14ac:dyDescent="0.25">
      <c r="B485" s="64" t="s">
        <v>926</v>
      </c>
      <c r="C485" s="64" t="s">
        <v>927</v>
      </c>
      <c r="D485" s="64" t="s">
        <v>925</v>
      </c>
      <c r="E485" s="51">
        <f t="shared" si="272"/>
        <v>0</v>
      </c>
      <c r="F485" s="10">
        <f t="shared" si="212"/>
        <v>25000</v>
      </c>
      <c r="G485" s="10">
        <f>SUM(H485:S485)</f>
        <v>25000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20000</v>
      </c>
      <c r="R485" s="10">
        <v>5000</v>
      </c>
      <c r="S485" s="10">
        <v>0</v>
      </c>
      <c r="T485" s="7">
        <f t="shared" si="239"/>
        <v>25000</v>
      </c>
      <c r="U485" s="8">
        <f t="shared" si="252"/>
        <v>0</v>
      </c>
      <c r="V485" s="8"/>
      <c r="Z485" s="10"/>
      <c r="AA485" s="8"/>
      <c r="AG485" s="10">
        <f>1194232.5*1.03</f>
        <v>1230059.4750000001</v>
      </c>
      <c r="AH485" s="61">
        <f t="shared" si="267"/>
        <v>1205059.4750000001</v>
      </c>
      <c r="AI485" s="8">
        <f>+G485</f>
        <v>25000</v>
      </c>
    </row>
    <row r="486" spans="2:35" ht="9.75" customHeight="1" x14ac:dyDescent="0.25">
      <c r="B486" s="64" t="s">
        <v>928</v>
      </c>
      <c r="C486" s="64" t="s">
        <v>929</v>
      </c>
      <c r="D486" s="64" t="s">
        <v>925</v>
      </c>
      <c r="E486" s="51">
        <f t="shared" si="272"/>
        <v>0</v>
      </c>
      <c r="F486" s="10">
        <f t="shared" si="212"/>
        <v>0</v>
      </c>
      <c r="G486" s="10">
        <f t="shared" ref="G486:G495" si="276">SUM(H486:S486)</f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10">
        <v>0</v>
      </c>
      <c r="S486" s="10">
        <v>0</v>
      </c>
      <c r="T486" s="7">
        <f t="shared" si="239"/>
        <v>0</v>
      </c>
      <c r="U486" s="8">
        <f t="shared" si="252"/>
        <v>0</v>
      </c>
      <c r="V486" s="8"/>
      <c r="Z486" s="10"/>
      <c r="AA486" s="8"/>
      <c r="AI486" s="8"/>
    </row>
    <row r="487" spans="2:35" ht="9.75" customHeight="1" x14ac:dyDescent="0.25">
      <c r="B487" s="64" t="s">
        <v>930</v>
      </c>
      <c r="C487" s="64" t="s">
        <v>931</v>
      </c>
      <c r="D487" s="64" t="s">
        <v>925</v>
      </c>
      <c r="E487" s="51">
        <f t="shared" si="272"/>
        <v>0</v>
      </c>
      <c r="F487" s="10">
        <f t="shared" si="212"/>
        <v>0</v>
      </c>
      <c r="G487" s="10">
        <f t="shared" si="276"/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10">
        <v>0</v>
      </c>
      <c r="S487" s="10">
        <v>0</v>
      </c>
      <c r="T487" s="7">
        <f t="shared" si="239"/>
        <v>0</v>
      </c>
      <c r="U487" s="8">
        <f t="shared" si="252"/>
        <v>0</v>
      </c>
      <c r="V487" s="8"/>
      <c r="Z487" s="10"/>
      <c r="AA487" s="8"/>
      <c r="AI487" s="8"/>
    </row>
    <row r="488" spans="2:35" ht="9.75" customHeight="1" x14ac:dyDescent="0.25">
      <c r="B488" s="64" t="s">
        <v>932</v>
      </c>
      <c r="C488" s="64" t="s">
        <v>933</v>
      </c>
      <c r="D488" s="64" t="s">
        <v>925</v>
      </c>
      <c r="E488" s="51">
        <f t="shared" si="272"/>
        <v>0</v>
      </c>
      <c r="F488" s="10">
        <f t="shared" si="212"/>
        <v>124992.05</v>
      </c>
      <c r="G488" s="10">
        <f t="shared" si="276"/>
        <v>124992.05</v>
      </c>
      <c r="H488" s="10">
        <v>49211.05</v>
      </c>
      <c r="I488" s="10">
        <v>30015</v>
      </c>
      <c r="J488" s="10">
        <v>4266</v>
      </c>
      <c r="K488" s="10">
        <v>1500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20000</v>
      </c>
      <c r="R488" s="10">
        <v>10000</v>
      </c>
      <c r="S488" s="10">
        <v>10000</v>
      </c>
      <c r="T488" s="7">
        <f t="shared" ref="T488:T551" si="277">SUM(H488:S488)</f>
        <v>124992.05</v>
      </c>
      <c r="U488" s="8">
        <f t="shared" si="252"/>
        <v>0</v>
      </c>
      <c r="V488" s="8"/>
      <c r="Z488" s="10"/>
      <c r="AA488" s="8"/>
      <c r="AI488" s="8"/>
    </row>
    <row r="489" spans="2:35" ht="9.75" customHeight="1" x14ac:dyDescent="0.25">
      <c r="B489" s="64" t="s">
        <v>934</v>
      </c>
      <c r="C489" s="64" t="s">
        <v>935</v>
      </c>
      <c r="D489" s="64" t="s">
        <v>925</v>
      </c>
      <c r="E489" s="51">
        <f t="shared" si="272"/>
        <v>0</v>
      </c>
      <c r="F489" s="10">
        <f t="shared" si="212"/>
        <v>0</v>
      </c>
      <c r="G489" s="10">
        <f t="shared" si="276"/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10">
        <v>0</v>
      </c>
      <c r="S489" s="10">
        <v>0</v>
      </c>
      <c r="T489" s="7">
        <f t="shared" si="277"/>
        <v>0</v>
      </c>
      <c r="U489" s="8">
        <f t="shared" si="252"/>
        <v>0</v>
      </c>
      <c r="V489" s="8"/>
      <c r="Z489" s="10"/>
      <c r="AA489" s="8"/>
      <c r="AI489" s="8"/>
    </row>
    <row r="490" spans="2:35" ht="9.75" customHeight="1" x14ac:dyDescent="0.25">
      <c r="B490" s="64" t="s">
        <v>936</v>
      </c>
      <c r="C490" s="64" t="s">
        <v>937</v>
      </c>
      <c r="D490" s="64" t="s">
        <v>925</v>
      </c>
      <c r="E490" s="51">
        <f t="shared" si="272"/>
        <v>0</v>
      </c>
      <c r="F490" s="10">
        <f t="shared" si="212"/>
        <v>0</v>
      </c>
      <c r="G490" s="10">
        <f t="shared" si="276"/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7">
        <f t="shared" si="277"/>
        <v>0</v>
      </c>
      <c r="U490" s="8">
        <f t="shared" si="252"/>
        <v>0</v>
      </c>
      <c r="V490" s="8"/>
      <c r="Z490" s="10"/>
      <c r="AA490" s="8"/>
      <c r="AI490" s="8"/>
    </row>
    <row r="491" spans="2:35" ht="9.75" customHeight="1" x14ac:dyDescent="0.25">
      <c r="B491" s="64" t="s">
        <v>938</v>
      </c>
      <c r="C491" s="64" t="s">
        <v>939</v>
      </c>
      <c r="D491" s="64" t="s">
        <v>925</v>
      </c>
      <c r="E491" s="51">
        <f t="shared" si="272"/>
        <v>0</v>
      </c>
      <c r="F491" s="10">
        <f t="shared" si="212"/>
        <v>168294.52000000002</v>
      </c>
      <c r="G491" s="10">
        <f t="shared" si="276"/>
        <v>168294.52000000002</v>
      </c>
      <c r="H491" s="10">
        <v>100869.5</v>
      </c>
      <c r="I491" s="10">
        <v>67425.02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0">
        <v>0</v>
      </c>
      <c r="T491" s="7">
        <f t="shared" si="277"/>
        <v>168294.52000000002</v>
      </c>
      <c r="U491" s="8">
        <f t="shared" si="252"/>
        <v>0</v>
      </c>
      <c r="V491" s="8"/>
      <c r="Z491" s="10"/>
      <c r="AA491" s="8"/>
      <c r="AI491" s="8"/>
    </row>
    <row r="492" spans="2:35" ht="9.75" customHeight="1" x14ac:dyDescent="0.25">
      <c r="B492" s="64" t="s">
        <v>940</v>
      </c>
      <c r="C492" s="64" t="s">
        <v>941</v>
      </c>
      <c r="D492" s="64" t="s">
        <v>925</v>
      </c>
      <c r="E492" s="51">
        <f t="shared" si="272"/>
        <v>0</v>
      </c>
      <c r="F492" s="10">
        <f t="shared" si="212"/>
        <v>16954</v>
      </c>
      <c r="G492" s="10">
        <f t="shared" si="276"/>
        <v>16954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16954</v>
      </c>
      <c r="R492" s="10">
        <v>0</v>
      </c>
      <c r="S492" s="10">
        <v>0</v>
      </c>
      <c r="T492" s="7">
        <f t="shared" si="277"/>
        <v>16954</v>
      </c>
      <c r="U492" s="8">
        <f t="shared" si="252"/>
        <v>0</v>
      </c>
      <c r="V492" s="8"/>
      <c r="Z492" s="10"/>
      <c r="AA492" s="8"/>
      <c r="AI492" s="8"/>
    </row>
    <row r="493" spans="2:35" ht="9.75" customHeight="1" x14ac:dyDescent="0.25">
      <c r="B493" s="64" t="s">
        <v>942</v>
      </c>
      <c r="C493" s="64" t="s">
        <v>943</v>
      </c>
      <c r="D493" s="64" t="s">
        <v>925</v>
      </c>
      <c r="E493" s="51">
        <f t="shared" si="272"/>
        <v>0</v>
      </c>
      <c r="F493" s="10">
        <f t="shared" si="212"/>
        <v>0</v>
      </c>
      <c r="G493" s="10">
        <f t="shared" si="276"/>
        <v>0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10">
        <v>0</v>
      </c>
      <c r="S493" s="10">
        <v>0</v>
      </c>
      <c r="T493" s="7">
        <f t="shared" si="277"/>
        <v>0</v>
      </c>
      <c r="U493" s="8">
        <f t="shared" si="252"/>
        <v>0</v>
      </c>
      <c r="V493" s="8"/>
      <c r="Z493" s="10"/>
      <c r="AA493" s="8"/>
      <c r="AI493" s="8"/>
    </row>
    <row r="494" spans="2:35" ht="9.75" customHeight="1" x14ac:dyDescent="0.25">
      <c r="B494" s="64" t="s">
        <v>944</v>
      </c>
      <c r="C494" s="64" t="s">
        <v>945</v>
      </c>
      <c r="D494" s="64"/>
      <c r="F494" s="10">
        <f t="shared" si="212"/>
        <v>5756</v>
      </c>
      <c r="G494" s="10">
        <f t="shared" si="276"/>
        <v>5756</v>
      </c>
      <c r="H494" s="10">
        <v>2878</v>
      </c>
      <c r="I494" s="10">
        <v>2878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7">
        <f t="shared" si="277"/>
        <v>5756</v>
      </c>
      <c r="U494" s="8">
        <f t="shared" si="252"/>
        <v>0</v>
      </c>
      <c r="V494" s="8"/>
      <c r="Z494" s="10"/>
      <c r="AA494" s="8"/>
      <c r="AI494" s="8"/>
    </row>
    <row r="495" spans="2:35" ht="9.75" customHeight="1" x14ac:dyDescent="0.25">
      <c r="B495" s="64" t="s">
        <v>946</v>
      </c>
      <c r="C495" s="64" t="s">
        <v>947</v>
      </c>
      <c r="D495" s="64"/>
      <c r="F495" s="10">
        <f t="shared" si="212"/>
        <v>22338</v>
      </c>
      <c r="G495" s="10">
        <f t="shared" si="276"/>
        <v>22338</v>
      </c>
      <c r="H495" s="10">
        <v>11169</v>
      </c>
      <c r="I495" s="10">
        <v>11169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7">
        <f t="shared" si="277"/>
        <v>22338</v>
      </c>
      <c r="U495" s="8">
        <f t="shared" si="252"/>
        <v>0</v>
      </c>
      <c r="V495" s="8"/>
      <c r="Z495" s="10"/>
      <c r="AA495" s="8"/>
      <c r="AI495" s="8"/>
    </row>
    <row r="496" spans="2:35" ht="9.75" customHeight="1" x14ac:dyDescent="0.25">
      <c r="B496" s="62" t="s">
        <v>948</v>
      </c>
      <c r="C496" s="62" t="s">
        <v>949</v>
      </c>
      <c r="D496" s="62"/>
      <c r="F496" s="10"/>
      <c r="G496" s="63">
        <f t="shared" ref="G496:S496" si="278">SUM(G497:G501)</f>
        <v>114163.98000000001</v>
      </c>
      <c r="H496" s="63">
        <f t="shared" si="278"/>
        <v>13818.75</v>
      </c>
      <c r="I496" s="63">
        <f t="shared" si="278"/>
        <v>12023.14</v>
      </c>
      <c r="J496" s="63">
        <f t="shared" si="278"/>
        <v>15229.880000000001</v>
      </c>
      <c r="K496" s="63">
        <f t="shared" si="278"/>
        <v>9754.64</v>
      </c>
      <c r="L496" s="63">
        <f t="shared" si="278"/>
        <v>8682.1</v>
      </c>
      <c r="M496" s="63">
        <f t="shared" si="278"/>
        <v>8078.21</v>
      </c>
      <c r="N496" s="63">
        <f t="shared" si="278"/>
        <v>8573.4</v>
      </c>
      <c r="O496" s="63">
        <f t="shared" si="278"/>
        <v>13851.49</v>
      </c>
      <c r="P496" s="63">
        <f t="shared" si="278"/>
        <v>1746.81</v>
      </c>
      <c r="Q496" s="63">
        <f t="shared" si="278"/>
        <v>5944.52</v>
      </c>
      <c r="R496" s="63">
        <f t="shared" si="278"/>
        <v>11841.52</v>
      </c>
      <c r="S496" s="63">
        <f t="shared" si="278"/>
        <v>4619.5200000000004</v>
      </c>
      <c r="T496" s="7">
        <f t="shared" si="277"/>
        <v>114163.98000000001</v>
      </c>
      <c r="U496" s="8">
        <f t="shared" si="252"/>
        <v>0</v>
      </c>
      <c r="V496" s="8"/>
      <c r="Z496" s="63"/>
      <c r="AA496" s="8"/>
      <c r="AH496" s="61">
        <f t="shared" si="267"/>
        <v>-114163.98000000001</v>
      </c>
      <c r="AI496" s="8"/>
    </row>
    <row r="497" spans="2:35" ht="9.75" customHeight="1" x14ac:dyDescent="0.25">
      <c r="B497" s="64" t="s">
        <v>950</v>
      </c>
      <c r="C497" s="64" t="s">
        <v>951</v>
      </c>
      <c r="D497" s="64" t="s">
        <v>58</v>
      </c>
      <c r="E497" s="51">
        <f t="shared" si="272"/>
        <v>0</v>
      </c>
      <c r="F497" s="10">
        <f t="shared" si="212"/>
        <v>4553.3599999999997</v>
      </c>
      <c r="G497" s="10">
        <f>SUM(H497:S497)</f>
        <v>4553.3599999999997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  <c r="M497" s="10">
        <v>0</v>
      </c>
      <c r="N497" s="10">
        <v>1470.8</v>
      </c>
      <c r="O497" s="10">
        <v>0</v>
      </c>
      <c r="P497" s="10">
        <v>0</v>
      </c>
      <c r="Q497" s="10">
        <v>1027.52</v>
      </c>
      <c r="R497" s="10">
        <v>1027.52</v>
      </c>
      <c r="S497" s="10">
        <v>1027.52</v>
      </c>
      <c r="T497" s="7">
        <f t="shared" si="277"/>
        <v>4553.3599999999997</v>
      </c>
      <c r="U497" s="8">
        <f t="shared" si="252"/>
        <v>0</v>
      </c>
      <c r="V497" s="8"/>
      <c r="Z497" s="10"/>
      <c r="AA497" s="8"/>
      <c r="AG497" s="10">
        <f>29437.38*1.03</f>
        <v>30320.501400000001</v>
      </c>
      <c r="AH497" s="61">
        <f t="shared" si="267"/>
        <v>25767.1414</v>
      </c>
      <c r="AI497" s="8">
        <f>+G497</f>
        <v>4553.3599999999997</v>
      </c>
    </row>
    <row r="498" spans="2:35" ht="9.75" customHeight="1" x14ac:dyDescent="0.25">
      <c r="B498" s="64" t="s">
        <v>952</v>
      </c>
      <c r="C498" s="64" t="s">
        <v>953</v>
      </c>
      <c r="D498" s="64" t="s">
        <v>58</v>
      </c>
      <c r="E498" s="51">
        <f t="shared" si="272"/>
        <v>0</v>
      </c>
      <c r="F498" s="10">
        <f t="shared" si="212"/>
        <v>15197.98</v>
      </c>
      <c r="G498" s="10">
        <f t="shared" ref="G498:G501" si="279">SUM(H498:S498)</f>
        <v>15197.98</v>
      </c>
      <c r="H498" s="10">
        <v>1693.68</v>
      </c>
      <c r="I498" s="10">
        <v>2270.83</v>
      </c>
      <c r="J498" s="10">
        <v>3235.76</v>
      </c>
      <c r="K498" s="10">
        <v>2353.2800000000002</v>
      </c>
      <c r="L498" s="10">
        <v>2206.1999999999998</v>
      </c>
      <c r="M498" s="10">
        <v>1691.42</v>
      </c>
      <c r="N498" s="10">
        <v>0</v>
      </c>
      <c r="O498" s="10">
        <v>0</v>
      </c>
      <c r="P498" s="10">
        <v>1746.81</v>
      </c>
      <c r="Q498" s="10">
        <v>0</v>
      </c>
      <c r="R498" s="10">
        <v>0</v>
      </c>
      <c r="S498" s="10">
        <v>0</v>
      </c>
      <c r="T498" s="7">
        <f t="shared" si="277"/>
        <v>15197.98</v>
      </c>
      <c r="U498" s="8">
        <f t="shared" si="252"/>
        <v>0</v>
      </c>
      <c r="V498" s="8"/>
      <c r="Z498" s="10"/>
      <c r="AA498" s="8"/>
      <c r="AI498" s="8"/>
    </row>
    <row r="499" spans="2:35" ht="9.75" customHeight="1" x14ac:dyDescent="0.25">
      <c r="B499" s="64" t="s">
        <v>954</v>
      </c>
      <c r="C499" s="64" t="s">
        <v>955</v>
      </c>
      <c r="D499" s="64"/>
      <c r="F499" s="10"/>
      <c r="G499" s="10">
        <f t="shared" si="279"/>
        <v>8755.0399999999991</v>
      </c>
      <c r="H499" s="10">
        <v>899.07</v>
      </c>
      <c r="I499" s="10">
        <v>1257.71</v>
      </c>
      <c r="J499" s="10">
        <v>1792.12</v>
      </c>
      <c r="K499" s="10">
        <v>1303.3599999999999</v>
      </c>
      <c r="L499" s="10">
        <v>1221.9000000000001</v>
      </c>
      <c r="M499" s="10">
        <v>936.79</v>
      </c>
      <c r="N499" s="10">
        <v>814.6</v>
      </c>
      <c r="O499" s="10">
        <v>529.49</v>
      </c>
      <c r="P499" s="10">
        <v>0</v>
      </c>
      <c r="Q499" s="10">
        <v>0</v>
      </c>
      <c r="R499" s="10">
        <v>0</v>
      </c>
      <c r="S499" s="10">
        <v>0</v>
      </c>
      <c r="T499" s="7">
        <f t="shared" si="277"/>
        <v>8755.0399999999991</v>
      </c>
      <c r="U499" s="8">
        <f t="shared" si="252"/>
        <v>0</v>
      </c>
      <c r="V499" s="8"/>
      <c r="Z499" s="10"/>
      <c r="AA499" s="8"/>
      <c r="AI499" s="8"/>
    </row>
    <row r="500" spans="2:35" ht="9.75" customHeight="1" x14ac:dyDescent="0.25">
      <c r="B500" s="64" t="s">
        <v>956</v>
      </c>
      <c r="C500" s="64" t="s">
        <v>957</v>
      </c>
      <c r="D500" s="64" t="s">
        <v>585</v>
      </c>
      <c r="E500" s="51">
        <f t="shared" si="272"/>
        <v>0</v>
      </c>
      <c r="F500" s="10">
        <f t="shared" si="212"/>
        <v>0</v>
      </c>
      <c r="G500" s="10">
        <f t="shared" si="279"/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10">
        <v>0</v>
      </c>
      <c r="S500" s="10">
        <v>0</v>
      </c>
      <c r="T500" s="7">
        <f t="shared" si="277"/>
        <v>0</v>
      </c>
      <c r="U500" s="8">
        <f t="shared" si="252"/>
        <v>0</v>
      </c>
      <c r="V500" s="8"/>
      <c r="Z500" s="10"/>
      <c r="AA500" s="8"/>
      <c r="AG500" s="10">
        <f>6950.16*1.03</f>
        <v>7158.6648000000005</v>
      </c>
      <c r="AH500" s="61">
        <f t="shared" si="267"/>
        <v>7158.6648000000005</v>
      </c>
      <c r="AI500" s="8">
        <f>+G500</f>
        <v>0</v>
      </c>
    </row>
    <row r="501" spans="2:35" ht="9.75" customHeight="1" x14ac:dyDescent="0.25">
      <c r="B501" s="64" t="s">
        <v>958</v>
      </c>
      <c r="C501" s="64" t="s">
        <v>959</v>
      </c>
      <c r="D501" s="64" t="s">
        <v>720</v>
      </c>
      <c r="E501" s="51">
        <f t="shared" si="272"/>
        <v>0</v>
      </c>
      <c r="F501" s="10">
        <f t="shared" si="212"/>
        <v>85657.600000000006</v>
      </c>
      <c r="G501" s="10">
        <f t="shared" si="279"/>
        <v>85657.600000000006</v>
      </c>
      <c r="H501" s="10">
        <v>11226</v>
      </c>
      <c r="I501" s="10">
        <v>8494.6</v>
      </c>
      <c r="J501" s="10">
        <v>10202</v>
      </c>
      <c r="K501" s="10">
        <v>6098</v>
      </c>
      <c r="L501" s="10">
        <v>5254</v>
      </c>
      <c r="M501" s="10">
        <v>5450</v>
      </c>
      <c r="N501" s="10">
        <v>6288</v>
      </c>
      <c r="O501" s="10">
        <v>13322</v>
      </c>
      <c r="P501" s="10">
        <v>0</v>
      </c>
      <c r="Q501" s="10">
        <v>4917</v>
      </c>
      <c r="R501" s="10">
        <v>10814</v>
      </c>
      <c r="S501" s="10">
        <v>3592</v>
      </c>
      <c r="T501" s="7">
        <f t="shared" si="277"/>
        <v>85657.600000000006</v>
      </c>
      <c r="U501" s="8">
        <f t="shared" si="252"/>
        <v>0</v>
      </c>
      <c r="V501" s="8"/>
      <c r="Z501" s="10"/>
      <c r="AA501" s="8"/>
      <c r="AG501" s="10">
        <f>78677*1.03</f>
        <v>81037.31</v>
      </c>
      <c r="AH501" s="61">
        <f t="shared" si="267"/>
        <v>-4620.2900000000081</v>
      </c>
      <c r="AI501" s="8">
        <f>+G501</f>
        <v>85657.600000000006</v>
      </c>
    </row>
    <row r="502" spans="2:35" ht="9.75" customHeight="1" x14ac:dyDescent="0.25">
      <c r="B502" s="62" t="s">
        <v>960</v>
      </c>
      <c r="C502" s="62" t="s">
        <v>961</v>
      </c>
      <c r="D502" s="62"/>
      <c r="F502" s="10"/>
      <c r="G502" s="63">
        <f>+G503+G506+G510+G508</f>
        <v>15448.509999999998</v>
      </c>
      <c r="H502" s="63">
        <f t="shared" ref="H502:S502" si="280">+H503+H506+H510+H508</f>
        <v>3105.12</v>
      </c>
      <c r="I502" s="63">
        <f t="shared" si="280"/>
        <v>1232.0999999999999</v>
      </c>
      <c r="J502" s="63">
        <f t="shared" si="280"/>
        <v>1037.72</v>
      </c>
      <c r="K502" s="63">
        <f t="shared" si="280"/>
        <v>3999.44</v>
      </c>
      <c r="L502" s="63">
        <f t="shared" si="280"/>
        <v>1400.5</v>
      </c>
      <c r="M502" s="63">
        <f t="shared" si="280"/>
        <v>3499.47</v>
      </c>
      <c r="N502" s="63">
        <f t="shared" si="280"/>
        <v>0</v>
      </c>
      <c r="O502" s="63">
        <f t="shared" si="280"/>
        <v>0</v>
      </c>
      <c r="P502" s="63">
        <f t="shared" si="280"/>
        <v>1174.1600000000001</v>
      </c>
      <c r="Q502" s="63">
        <f t="shared" si="280"/>
        <v>0</v>
      </c>
      <c r="R502" s="63">
        <f t="shared" si="280"/>
        <v>0</v>
      </c>
      <c r="S502" s="63">
        <f t="shared" si="280"/>
        <v>0</v>
      </c>
      <c r="T502" s="7">
        <f t="shared" si="277"/>
        <v>15448.509999999998</v>
      </c>
      <c r="U502" s="8">
        <f t="shared" si="252"/>
        <v>0</v>
      </c>
      <c r="V502" s="8"/>
      <c r="Z502" s="63"/>
      <c r="AA502" s="8"/>
      <c r="AH502" s="61">
        <f t="shared" si="267"/>
        <v>-15448.509999999998</v>
      </c>
      <c r="AI502" s="8"/>
    </row>
    <row r="503" spans="2:35" ht="9.75" customHeight="1" x14ac:dyDescent="0.25">
      <c r="B503" s="62" t="s">
        <v>962</v>
      </c>
      <c r="C503" s="62" t="s">
        <v>963</v>
      </c>
      <c r="D503" s="62"/>
      <c r="F503" s="10"/>
      <c r="G503" s="63">
        <f>+G504+G505</f>
        <v>14274.349999999999</v>
      </c>
      <c r="H503" s="63">
        <f t="shared" ref="H503:S503" si="281">+H504+H505</f>
        <v>3105.12</v>
      </c>
      <c r="I503" s="63">
        <f t="shared" si="281"/>
        <v>1232.0999999999999</v>
      </c>
      <c r="J503" s="63">
        <f t="shared" si="281"/>
        <v>1037.72</v>
      </c>
      <c r="K503" s="63">
        <f t="shared" si="281"/>
        <v>3999.44</v>
      </c>
      <c r="L503" s="63">
        <f t="shared" si="281"/>
        <v>1400.5</v>
      </c>
      <c r="M503" s="63">
        <f t="shared" si="281"/>
        <v>3499.47</v>
      </c>
      <c r="N503" s="63">
        <f t="shared" si="281"/>
        <v>0</v>
      </c>
      <c r="O503" s="63">
        <f t="shared" si="281"/>
        <v>0</v>
      </c>
      <c r="P503" s="63">
        <f t="shared" si="281"/>
        <v>0</v>
      </c>
      <c r="Q503" s="63">
        <f t="shared" si="281"/>
        <v>0</v>
      </c>
      <c r="R503" s="63">
        <f t="shared" si="281"/>
        <v>0</v>
      </c>
      <c r="S503" s="63">
        <f t="shared" si="281"/>
        <v>0</v>
      </c>
      <c r="T503" s="7">
        <f t="shared" si="277"/>
        <v>14274.349999999999</v>
      </c>
      <c r="U503" s="8">
        <f t="shared" si="252"/>
        <v>0</v>
      </c>
      <c r="V503" s="8"/>
      <c r="Z503" s="63"/>
      <c r="AA503" s="8"/>
      <c r="AH503" s="61">
        <f t="shared" si="267"/>
        <v>-14274.349999999999</v>
      </c>
      <c r="AI503" s="8"/>
    </row>
    <row r="504" spans="2:35" ht="9.75" customHeight="1" x14ac:dyDescent="0.25">
      <c r="B504" s="64" t="s">
        <v>964</v>
      </c>
      <c r="C504" s="64" t="s">
        <v>965</v>
      </c>
      <c r="D504" s="64" t="s">
        <v>100</v>
      </c>
      <c r="E504" s="51">
        <f t="shared" si="272"/>
        <v>0</v>
      </c>
      <c r="F504" s="10">
        <f t="shared" si="212"/>
        <v>14274.349999999999</v>
      </c>
      <c r="G504" s="10">
        <f>SUM(H504:S504)</f>
        <v>14274.349999999999</v>
      </c>
      <c r="H504" s="10">
        <v>3105.12</v>
      </c>
      <c r="I504" s="10">
        <v>1232.0999999999999</v>
      </c>
      <c r="J504" s="10">
        <v>1037.72</v>
      </c>
      <c r="K504" s="10">
        <v>3999.44</v>
      </c>
      <c r="L504" s="10">
        <v>1400.5</v>
      </c>
      <c r="M504" s="10">
        <v>3499.47</v>
      </c>
      <c r="N504" s="10"/>
      <c r="O504" s="10"/>
      <c r="P504" s="10">
        <v>0</v>
      </c>
      <c r="Q504" s="10">
        <v>0</v>
      </c>
      <c r="R504" s="10">
        <v>0</v>
      </c>
      <c r="S504" s="10">
        <v>0</v>
      </c>
      <c r="T504" s="7">
        <f t="shared" si="277"/>
        <v>14274.349999999999</v>
      </c>
      <c r="U504" s="8">
        <f t="shared" si="252"/>
        <v>0</v>
      </c>
      <c r="V504" s="8"/>
      <c r="Z504" s="10"/>
      <c r="AA504" s="8"/>
      <c r="AG504" s="10">
        <f>141648.58*1.03</f>
        <v>145898.0374</v>
      </c>
      <c r="AH504" s="61">
        <f t="shared" si="267"/>
        <v>131623.6874</v>
      </c>
      <c r="AI504" s="8">
        <f>+G504</f>
        <v>14274.349999999999</v>
      </c>
    </row>
    <row r="505" spans="2:35" ht="9.75" customHeight="1" x14ac:dyDescent="0.25">
      <c r="B505" s="64" t="s">
        <v>966</v>
      </c>
      <c r="C505" s="64" t="s">
        <v>967</v>
      </c>
      <c r="D505" s="64" t="s">
        <v>100</v>
      </c>
      <c r="E505" s="51">
        <f t="shared" si="272"/>
        <v>0</v>
      </c>
      <c r="F505" s="10">
        <f t="shared" si="212"/>
        <v>0</v>
      </c>
      <c r="G505" s="10">
        <f>SUM(H505:S505)</f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7">
        <f t="shared" si="277"/>
        <v>0</v>
      </c>
      <c r="U505" s="8">
        <f t="shared" si="252"/>
        <v>0</v>
      </c>
      <c r="V505" s="8"/>
      <c r="Z505" s="10"/>
      <c r="AA505" s="8"/>
      <c r="AI505" s="8"/>
    </row>
    <row r="506" spans="2:35" ht="9.75" customHeight="1" x14ac:dyDescent="0.25">
      <c r="B506" s="62" t="s">
        <v>968</v>
      </c>
      <c r="C506" s="62" t="s">
        <v>969</v>
      </c>
      <c r="D506" s="62"/>
      <c r="F506" s="10"/>
      <c r="G506" s="63">
        <f>+G507</f>
        <v>0.02</v>
      </c>
      <c r="H506" s="63">
        <f t="shared" ref="H506:S508" si="282">+H507</f>
        <v>0</v>
      </c>
      <c r="I506" s="63">
        <f t="shared" si="282"/>
        <v>0</v>
      </c>
      <c r="J506" s="63">
        <f t="shared" si="282"/>
        <v>0</v>
      </c>
      <c r="K506" s="63">
        <f t="shared" si="282"/>
        <v>0</v>
      </c>
      <c r="L506" s="63">
        <f t="shared" si="282"/>
        <v>0</v>
      </c>
      <c r="M506" s="63">
        <f t="shared" si="282"/>
        <v>0</v>
      </c>
      <c r="N506" s="63">
        <f t="shared" si="282"/>
        <v>0</v>
      </c>
      <c r="O506" s="63">
        <f t="shared" si="282"/>
        <v>0</v>
      </c>
      <c r="P506" s="63">
        <f t="shared" si="282"/>
        <v>0.02</v>
      </c>
      <c r="Q506" s="63">
        <f t="shared" si="282"/>
        <v>0</v>
      </c>
      <c r="R506" s="63">
        <f t="shared" si="282"/>
        <v>0</v>
      </c>
      <c r="S506" s="63">
        <f t="shared" si="282"/>
        <v>0</v>
      </c>
      <c r="T506" s="7">
        <f t="shared" si="277"/>
        <v>0.02</v>
      </c>
      <c r="U506" s="8">
        <f t="shared" si="252"/>
        <v>0</v>
      </c>
      <c r="V506" s="8"/>
      <c r="Z506" s="63"/>
      <c r="AA506" s="8"/>
      <c r="AH506" s="61">
        <f t="shared" si="267"/>
        <v>-0.02</v>
      </c>
      <c r="AI506" s="8"/>
    </row>
    <row r="507" spans="2:35" ht="9.75" customHeight="1" x14ac:dyDescent="0.25">
      <c r="B507" s="64" t="s">
        <v>970</v>
      </c>
      <c r="C507" s="64" t="s">
        <v>971</v>
      </c>
      <c r="D507" s="64" t="s">
        <v>100</v>
      </c>
      <c r="E507" s="51">
        <f t="shared" si="272"/>
        <v>0</v>
      </c>
      <c r="F507" s="10">
        <f t="shared" si="212"/>
        <v>0.02</v>
      </c>
      <c r="G507" s="10">
        <f>SUM(H507:S507)</f>
        <v>0.02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/>
      <c r="O507" s="10"/>
      <c r="P507" s="10">
        <v>0.02</v>
      </c>
      <c r="Q507" s="10">
        <v>0</v>
      </c>
      <c r="R507" s="10">
        <v>0</v>
      </c>
      <c r="S507" s="10">
        <v>0</v>
      </c>
      <c r="T507" s="7">
        <f t="shared" si="277"/>
        <v>0.02</v>
      </c>
      <c r="U507" s="8">
        <f t="shared" si="252"/>
        <v>0</v>
      </c>
      <c r="V507" s="8"/>
      <c r="Z507" s="10"/>
      <c r="AA507" s="8"/>
      <c r="AG507" s="10">
        <f>69815.24*1.03</f>
        <v>71909.69720000001</v>
      </c>
      <c r="AH507" s="61">
        <f t="shared" si="267"/>
        <v>71909.677200000006</v>
      </c>
      <c r="AI507" s="8">
        <f>+G507</f>
        <v>0.02</v>
      </c>
    </row>
    <row r="508" spans="2:35" ht="9.75" customHeight="1" x14ac:dyDescent="0.25">
      <c r="B508" s="62" t="s">
        <v>972</v>
      </c>
      <c r="C508" s="62" t="s">
        <v>973</v>
      </c>
      <c r="D508" s="62"/>
      <c r="F508" s="10"/>
      <c r="G508" s="63">
        <f>+G509</f>
        <v>1174.1400000000001</v>
      </c>
      <c r="H508" s="63">
        <f t="shared" si="282"/>
        <v>0</v>
      </c>
      <c r="I508" s="63">
        <f t="shared" si="282"/>
        <v>0</v>
      </c>
      <c r="J508" s="63">
        <f t="shared" si="282"/>
        <v>0</v>
      </c>
      <c r="K508" s="63">
        <f t="shared" si="282"/>
        <v>0</v>
      </c>
      <c r="L508" s="63">
        <f t="shared" si="282"/>
        <v>0</v>
      </c>
      <c r="M508" s="63">
        <f t="shared" si="282"/>
        <v>0</v>
      </c>
      <c r="N508" s="63">
        <f t="shared" si="282"/>
        <v>0</v>
      </c>
      <c r="O508" s="63">
        <f t="shared" si="282"/>
        <v>0</v>
      </c>
      <c r="P508" s="63">
        <f t="shared" si="282"/>
        <v>1174.1400000000001</v>
      </c>
      <c r="Q508" s="63">
        <f t="shared" si="282"/>
        <v>0</v>
      </c>
      <c r="R508" s="63">
        <f t="shared" si="282"/>
        <v>0</v>
      </c>
      <c r="S508" s="63">
        <f t="shared" si="282"/>
        <v>0</v>
      </c>
      <c r="T508" s="7">
        <f t="shared" si="277"/>
        <v>1174.1400000000001</v>
      </c>
      <c r="U508" s="8">
        <f t="shared" si="252"/>
        <v>0</v>
      </c>
      <c r="V508" s="8"/>
      <c r="Z508" s="63"/>
      <c r="AA508" s="8"/>
      <c r="AH508" s="61">
        <f t="shared" si="267"/>
        <v>-1174.1400000000001</v>
      </c>
      <c r="AI508" s="8"/>
    </row>
    <row r="509" spans="2:35" ht="9.75" customHeight="1" x14ac:dyDescent="0.25">
      <c r="B509" s="64" t="s">
        <v>974</v>
      </c>
      <c r="C509" s="64" t="s">
        <v>971</v>
      </c>
      <c r="D509" s="64" t="s">
        <v>100</v>
      </c>
      <c r="E509" s="51">
        <f t="shared" si="272"/>
        <v>0</v>
      </c>
      <c r="F509" s="10">
        <f t="shared" ref="F509:F611" si="283">+G509</f>
        <v>1174.1400000000001</v>
      </c>
      <c r="G509" s="10">
        <f>SUM(H509:S509)</f>
        <v>1174.1400000000001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/>
      <c r="O509" s="10"/>
      <c r="P509" s="10">
        <v>1174.1400000000001</v>
      </c>
      <c r="Q509" s="10">
        <v>0</v>
      </c>
      <c r="R509" s="10">
        <v>0</v>
      </c>
      <c r="S509" s="10">
        <v>0</v>
      </c>
      <c r="T509" s="7">
        <f t="shared" si="277"/>
        <v>1174.1400000000001</v>
      </c>
      <c r="U509" s="8">
        <f t="shared" si="252"/>
        <v>0</v>
      </c>
      <c r="V509" s="8"/>
      <c r="Z509" s="10"/>
      <c r="AA509" s="8"/>
      <c r="AG509" s="10">
        <f>69815.24*1.03</f>
        <v>71909.69720000001</v>
      </c>
      <c r="AH509" s="61">
        <f t="shared" si="267"/>
        <v>70735.55720000001</v>
      </c>
      <c r="AI509" s="8">
        <f>+G509</f>
        <v>1174.1400000000001</v>
      </c>
    </row>
    <row r="510" spans="2:35" ht="9.75" customHeight="1" x14ac:dyDescent="0.25">
      <c r="B510" s="62" t="s">
        <v>975</v>
      </c>
      <c r="C510" s="62" t="s">
        <v>976</v>
      </c>
      <c r="D510" s="62"/>
      <c r="F510" s="10"/>
      <c r="G510" s="63">
        <f>+G511</f>
        <v>0</v>
      </c>
      <c r="H510" s="63">
        <f t="shared" ref="H510:S510" si="284">+H511</f>
        <v>0</v>
      </c>
      <c r="I510" s="63">
        <f t="shared" si="284"/>
        <v>0</v>
      </c>
      <c r="J510" s="63">
        <f t="shared" si="284"/>
        <v>0</v>
      </c>
      <c r="K510" s="63">
        <f t="shared" si="284"/>
        <v>0</v>
      </c>
      <c r="L510" s="63">
        <f t="shared" si="284"/>
        <v>0</v>
      </c>
      <c r="M510" s="63">
        <f t="shared" si="284"/>
        <v>0</v>
      </c>
      <c r="N510" s="63">
        <f t="shared" si="284"/>
        <v>0</v>
      </c>
      <c r="O510" s="63">
        <f t="shared" si="284"/>
        <v>0</v>
      </c>
      <c r="P510" s="63">
        <f t="shared" si="284"/>
        <v>0</v>
      </c>
      <c r="Q510" s="63">
        <f t="shared" si="284"/>
        <v>0</v>
      </c>
      <c r="R510" s="63">
        <f t="shared" si="284"/>
        <v>0</v>
      </c>
      <c r="S510" s="63">
        <f t="shared" si="284"/>
        <v>0</v>
      </c>
      <c r="T510" s="7">
        <f t="shared" si="277"/>
        <v>0</v>
      </c>
      <c r="U510" s="8">
        <f t="shared" ref="U510:U573" si="285">+T510-G510</f>
        <v>0</v>
      </c>
      <c r="V510" s="8"/>
      <c r="Z510" s="63"/>
      <c r="AA510" s="8"/>
      <c r="AH510" s="61">
        <f t="shared" si="267"/>
        <v>0</v>
      </c>
      <c r="AI510" s="8"/>
    </row>
    <row r="511" spans="2:35" ht="9.75" customHeight="1" x14ac:dyDescent="0.25">
      <c r="B511" s="64" t="s">
        <v>977</v>
      </c>
      <c r="C511" s="64" t="s">
        <v>978</v>
      </c>
      <c r="D511" s="64" t="s">
        <v>100</v>
      </c>
      <c r="E511" s="51">
        <f t="shared" si="272"/>
        <v>0</v>
      </c>
      <c r="F511" s="10">
        <f t="shared" si="283"/>
        <v>0</v>
      </c>
      <c r="G511" s="10">
        <f>SUM(H511:S511)</f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7">
        <f t="shared" si="277"/>
        <v>0</v>
      </c>
      <c r="U511" s="8">
        <f t="shared" si="285"/>
        <v>0</v>
      </c>
      <c r="V511" s="8"/>
      <c r="Z511" s="10"/>
      <c r="AA511" s="8"/>
      <c r="AG511" s="10">
        <f>8068.85*1.03</f>
        <v>8310.915500000001</v>
      </c>
      <c r="AH511" s="61">
        <f t="shared" si="267"/>
        <v>8310.915500000001</v>
      </c>
      <c r="AI511" s="8">
        <f>+G511</f>
        <v>0</v>
      </c>
    </row>
    <row r="512" spans="2:35" ht="9.75" customHeight="1" x14ac:dyDescent="0.25">
      <c r="B512" s="62" t="s">
        <v>979</v>
      </c>
      <c r="C512" s="62" t="s">
        <v>980</v>
      </c>
      <c r="D512" s="62"/>
      <c r="F512" s="10"/>
      <c r="G512" s="63">
        <f>+G513</f>
        <v>0</v>
      </c>
      <c r="H512" s="63">
        <f t="shared" ref="H512:S512" si="286">+H513</f>
        <v>0</v>
      </c>
      <c r="I512" s="63">
        <f t="shared" si="286"/>
        <v>0</v>
      </c>
      <c r="J512" s="63">
        <f t="shared" si="286"/>
        <v>0</v>
      </c>
      <c r="K512" s="63">
        <f t="shared" si="286"/>
        <v>0</v>
      </c>
      <c r="L512" s="63">
        <f t="shared" si="286"/>
        <v>0</v>
      </c>
      <c r="M512" s="63">
        <f t="shared" si="286"/>
        <v>0</v>
      </c>
      <c r="N512" s="63">
        <f t="shared" si="286"/>
        <v>0</v>
      </c>
      <c r="O512" s="63">
        <f t="shared" si="286"/>
        <v>0</v>
      </c>
      <c r="P512" s="63">
        <f t="shared" si="286"/>
        <v>0</v>
      </c>
      <c r="Q512" s="63">
        <f t="shared" si="286"/>
        <v>0</v>
      </c>
      <c r="R512" s="63">
        <f t="shared" si="286"/>
        <v>0</v>
      </c>
      <c r="S512" s="63">
        <f t="shared" si="286"/>
        <v>0</v>
      </c>
      <c r="T512" s="7">
        <f t="shared" si="277"/>
        <v>0</v>
      </c>
      <c r="U512" s="8">
        <f t="shared" si="285"/>
        <v>0</v>
      </c>
      <c r="V512" s="8"/>
      <c r="Z512" s="10"/>
      <c r="AA512" s="8"/>
      <c r="AI512" s="8"/>
    </row>
    <row r="513" spans="2:35" ht="9.75" customHeight="1" x14ac:dyDescent="0.25">
      <c r="B513" s="62" t="s">
        <v>981</v>
      </c>
      <c r="C513" s="62" t="s">
        <v>124</v>
      </c>
      <c r="D513" s="62"/>
      <c r="F513" s="10"/>
      <c r="G513" s="63">
        <f t="shared" ref="G513:S513" si="287">SUM(G514:G518)</f>
        <v>0</v>
      </c>
      <c r="H513" s="63">
        <f t="shared" si="287"/>
        <v>0</v>
      </c>
      <c r="I513" s="63">
        <f t="shared" si="287"/>
        <v>0</v>
      </c>
      <c r="J513" s="63">
        <f t="shared" si="287"/>
        <v>0</v>
      </c>
      <c r="K513" s="63">
        <f t="shared" si="287"/>
        <v>0</v>
      </c>
      <c r="L513" s="63">
        <f t="shared" si="287"/>
        <v>0</v>
      </c>
      <c r="M513" s="63">
        <f t="shared" si="287"/>
        <v>0</v>
      </c>
      <c r="N513" s="63">
        <f t="shared" si="287"/>
        <v>0</v>
      </c>
      <c r="O513" s="63">
        <f t="shared" si="287"/>
        <v>0</v>
      </c>
      <c r="P513" s="63">
        <f t="shared" si="287"/>
        <v>0</v>
      </c>
      <c r="Q513" s="63">
        <f t="shared" si="287"/>
        <v>0</v>
      </c>
      <c r="R513" s="63">
        <f t="shared" si="287"/>
        <v>0</v>
      </c>
      <c r="S513" s="63">
        <f t="shared" si="287"/>
        <v>0</v>
      </c>
      <c r="T513" s="7">
        <f t="shared" si="277"/>
        <v>0</v>
      </c>
      <c r="U513" s="8">
        <f t="shared" si="285"/>
        <v>0</v>
      </c>
      <c r="V513" s="8"/>
      <c r="Z513" s="10"/>
      <c r="AA513" s="8"/>
      <c r="AI513" s="8"/>
    </row>
    <row r="514" spans="2:35" ht="9.75" customHeight="1" x14ac:dyDescent="0.25">
      <c r="B514" s="64" t="s">
        <v>982</v>
      </c>
      <c r="C514" s="64" t="s">
        <v>128</v>
      </c>
      <c r="D514" s="64" t="s">
        <v>129</v>
      </c>
      <c r="E514" s="51">
        <f t="shared" si="272"/>
        <v>0</v>
      </c>
      <c r="F514" s="10">
        <f t="shared" ref="F514:F518" si="288">+G514</f>
        <v>0</v>
      </c>
      <c r="G514" s="10">
        <f t="shared" ref="G514:G520" si="289">SUM(H514:S514)</f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7">
        <f t="shared" si="277"/>
        <v>0</v>
      </c>
      <c r="U514" s="8">
        <f t="shared" si="285"/>
        <v>0</v>
      </c>
      <c r="V514" s="8"/>
      <c r="Z514" s="10"/>
      <c r="AA514" s="8"/>
      <c r="AI514" s="8"/>
    </row>
    <row r="515" spans="2:35" ht="9.75" customHeight="1" x14ac:dyDescent="0.25">
      <c r="B515" s="64" t="s">
        <v>983</v>
      </c>
      <c r="C515" s="64" t="s">
        <v>131</v>
      </c>
      <c r="D515" s="64" t="s">
        <v>132</v>
      </c>
      <c r="E515" s="51">
        <f t="shared" si="272"/>
        <v>0</v>
      </c>
      <c r="F515" s="10">
        <f t="shared" si="288"/>
        <v>0</v>
      </c>
      <c r="G515" s="10">
        <f t="shared" si="289"/>
        <v>0</v>
      </c>
      <c r="H515" s="10">
        <v>0</v>
      </c>
      <c r="I515" s="10">
        <v>0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7">
        <f t="shared" si="277"/>
        <v>0</v>
      </c>
      <c r="U515" s="8">
        <f t="shared" si="285"/>
        <v>0</v>
      </c>
      <c r="V515" s="8"/>
      <c r="Z515" s="10"/>
      <c r="AA515" s="8"/>
      <c r="AI515" s="8"/>
    </row>
    <row r="516" spans="2:35" ht="9.75" customHeight="1" x14ac:dyDescent="0.25">
      <c r="B516" s="64" t="s">
        <v>984</v>
      </c>
      <c r="C516" s="64" t="s">
        <v>134</v>
      </c>
      <c r="D516" s="64" t="s">
        <v>30</v>
      </c>
      <c r="E516" s="51">
        <f>+F516-G516</f>
        <v>0</v>
      </c>
      <c r="F516" s="10">
        <f t="shared" si="288"/>
        <v>0</v>
      </c>
      <c r="G516" s="10">
        <f t="shared" si="289"/>
        <v>0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7">
        <f t="shared" si="277"/>
        <v>0</v>
      </c>
      <c r="U516" s="8">
        <f t="shared" si="285"/>
        <v>0</v>
      </c>
      <c r="V516" s="8"/>
      <c r="Z516" s="10"/>
      <c r="AA516" s="8"/>
      <c r="AI516" s="8"/>
    </row>
    <row r="517" spans="2:35" ht="9.75" customHeight="1" x14ac:dyDescent="0.25">
      <c r="B517" s="64" t="s">
        <v>985</v>
      </c>
      <c r="C517" s="64" t="s">
        <v>136</v>
      </c>
      <c r="D517" s="64" t="s">
        <v>132</v>
      </c>
      <c r="E517" s="51">
        <f t="shared" si="272"/>
        <v>0</v>
      </c>
      <c r="F517" s="10">
        <f t="shared" si="288"/>
        <v>0</v>
      </c>
      <c r="G517" s="10">
        <f t="shared" si="289"/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7">
        <f t="shared" si="277"/>
        <v>0</v>
      </c>
      <c r="U517" s="8">
        <f t="shared" si="285"/>
        <v>0</v>
      </c>
      <c r="V517" s="8"/>
      <c r="Z517" s="10"/>
      <c r="AA517" s="8"/>
      <c r="AI517" s="8"/>
    </row>
    <row r="518" spans="2:35" ht="9.75" customHeight="1" x14ac:dyDescent="0.25">
      <c r="B518" s="64" t="s">
        <v>986</v>
      </c>
      <c r="C518" s="64" t="s">
        <v>138</v>
      </c>
      <c r="D518" s="64" t="s">
        <v>100</v>
      </c>
      <c r="E518" s="51">
        <f t="shared" si="272"/>
        <v>0</v>
      </c>
      <c r="F518" s="10">
        <f t="shared" si="288"/>
        <v>0</v>
      </c>
      <c r="G518" s="10">
        <f t="shared" si="289"/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/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7">
        <f t="shared" si="277"/>
        <v>0</v>
      </c>
      <c r="U518" s="8">
        <f t="shared" si="285"/>
        <v>0</v>
      </c>
      <c r="V518" s="8"/>
      <c r="Z518" s="10"/>
      <c r="AA518" s="8"/>
      <c r="AI518" s="8"/>
    </row>
    <row r="519" spans="2:35" ht="9.75" customHeight="1" x14ac:dyDescent="0.25">
      <c r="B519" s="62" t="s">
        <v>987</v>
      </c>
      <c r="C519" s="62" t="s">
        <v>92</v>
      </c>
      <c r="D519" s="62"/>
      <c r="F519" s="10"/>
      <c r="G519" s="63">
        <f t="shared" si="289"/>
        <v>0</v>
      </c>
      <c r="H519" s="63">
        <f>+H520</f>
        <v>0</v>
      </c>
      <c r="I519" s="63">
        <f t="shared" ref="I519:S519" si="290">+I520</f>
        <v>0</v>
      </c>
      <c r="J519" s="63">
        <f t="shared" si="290"/>
        <v>0</v>
      </c>
      <c r="K519" s="63">
        <f t="shared" si="290"/>
        <v>0</v>
      </c>
      <c r="L519" s="63">
        <f t="shared" si="290"/>
        <v>0</v>
      </c>
      <c r="M519" s="63">
        <f t="shared" si="290"/>
        <v>0</v>
      </c>
      <c r="N519" s="63">
        <f t="shared" si="290"/>
        <v>0</v>
      </c>
      <c r="O519" s="63">
        <f t="shared" si="290"/>
        <v>0</v>
      </c>
      <c r="P519" s="63">
        <f t="shared" si="290"/>
        <v>0</v>
      </c>
      <c r="Q519" s="63">
        <f t="shared" si="290"/>
        <v>0</v>
      </c>
      <c r="R519" s="63">
        <f t="shared" si="290"/>
        <v>0</v>
      </c>
      <c r="S519" s="63">
        <f t="shared" si="290"/>
        <v>0</v>
      </c>
      <c r="T519" s="7">
        <f t="shared" si="277"/>
        <v>0</v>
      </c>
      <c r="U519" s="8">
        <f t="shared" si="285"/>
        <v>0</v>
      </c>
      <c r="V519" s="8"/>
      <c r="Z519" s="10"/>
      <c r="AA519" s="8"/>
      <c r="AI519" s="8"/>
    </row>
    <row r="520" spans="2:35" ht="9.75" customHeight="1" x14ac:dyDescent="0.25">
      <c r="B520" s="64" t="s">
        <v>988</v>
      </c>
      <c r="C520" s="67" t="s">
        <v>874</v>
      </c>
      <c r="D520" s="67" t="s">
        <v>30</v>
      </c>
      <c r="E520" s="51">
        <f t="shared" si="272"/>
        <v>0</v>
      </c>
      <c r="F520" s="10">
        <f t="shared" ref="F520" si="291">+G520</f>
        <v>0</v>
      </c>
      <c r="G520" s="10">
        <f t="shared" si="289"/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7">
        <f t="shared" si="277"/>
        <v>0</v>
      </c>
      <c r="U520" s="8">
        <f t="shared" si="285"/>
        <v>0</v>
      </c>
      <c r="V520" s="8"/>
      <c r="Z520" s="10"/>
      <c r="AA520" s="8"/>
      <c r="AI520" s="8"/>
    </row>
    <row r="521" spans="2:35" ht="9.75" customHeight="1" x14ac:dyDescent="0.25">
      <c r="B521" s="62" t="s">
        <v>989</v>
      </c>
      <c r="C521" s="62" t="s">
        <v>990</v>
      </c>
      <c r="D521" s="62"/>
      <c r="E521" s="51">
        <f t="shared" ref="E521" si="292">SUM(H521:S521)-G521</f>
        <v>0</v>
      </c>
      <c r="F521" s="10"/>
      <c r="G521" s="63">
        <f t="shared" ref="G521:S521" si="293">+G522+G568</f>
        <v>102488.86</v>
      </c>
      <c r="H521" s="63">
        <f t="shared" si="293"/>
        <v>2087</v>
      </c>
      <c r="I521" s="63">
        <f t="shared" si="293"/>
        <v>4596.8500000000004</v>
      </c>
      <c r="J521" s="63">
        <f t="shared" si="293"/>
        <v>12689.4</v>
      </c>
      <c r="K521" s="63">
        <f t="shared" si="293"/>
        <v>6400</v>
      </c>
      <c r="L521" s="63">
        <f t="shared" si="293"/>
        <v>4100</v>
      </c>
      <c r="M521" s="63">
        <f t="shared" si="293"/>
        <v>11900</v>
      </c>
      <c r="N521" s="63">
        <f t="shared" si="293"/>
        <v>1000</v>
      </c>
      <c r="O521" s="63">
        <f t="shared" si="293"/>
        <v>2630</v>
      </c>
      <c r="P521" s="63">
        <f t="shared" si="293"/>
        <v>55085.61</v>
      </c>
      <c r="Q521" s="63">
        <f t="shared" si="293"/>
        <v>0</v>
      </c>
      <c r="R521" s="63">
        <f t="shared" si="293"/>
        <v>1000</v>
      </c>
      <c r="S521" s="63">
        <f t="shared" si="293"/>
        <v>1000</v>
      </c>
      <c r="T521" s="7">
        <f t="shared" si="277"/>
        <v>102488.86</v>
      </c>
      <c r="U521" s="8">
        <f t="shared" si="285"/>
        <v>0</v>
      </c>
      <c r="V521" s="8"/>
      <c r="Z521" s="63"/>
      <c r="AA521" s="8"/>
      <c r="AH521" s="61">
        <f t="shared" ref="AH521:AH522" si="294">+AG521-G521</f>
        <v>-102488.86</v>
      </c>
      <c r="AI521" s="8"/>
    </row>
    <row r="522" spans="2:35" ht="10.5" customHeight="1" x14ac:dyDescent="0.25">
      <c r="B522" s="62" t="s">
        <v>991</v>
      </c>
      <c r="C522" s="62" t="s">
        <v>992</v>
      </c>
      <c r="D522" s="62"/>
      <c r="F522" s="10"/>
      <c r="G522" s="63">
        <f t="shared" ref="G522:S522" si="295">+G525+G561+G564+G566+G523+G527+G558</f>
        <v>102488.86</v>
      </c>
      <c r="H522" s="63">
        <f t="shared" si="295"/>
        <v>2087</v>
      </c>
      <c r="I522" s="63">
        <f t="shared" si="295"/>
        <v>4596.8500000000004</v>
      </c>
      <c r="J522" s="63">
        <f t="shared" si="295"/>
        <v>12689.4</v>
      </c>
      <c r="K522" s="63">
        <f t="shared" si="295"/>
        <v>6400</v>
      </c>
      <c r="L522" s="63">
        <f t="shared" si="295"/>
        <v>4100</v>
      </c>
      <c r="M522" s="63">
        <f t="shared" si="295"/>
        <v>11900</v>
      </c>
      <c r="N522" s="63">
        <f t="shared" si="295"/>
        <v>1000</v>
      </c>
      <c r="O522" s="63">
        <f t="shared" si="295"/>
        <v>2630</v>
      </c>
      <c r="P522" s="63">
        <f t="shared" si="295"/>
        <v>55085.61</v>
      </c>
      <c r="Q522" s="63">
        <f t="shared" si="295"/>
        <v>0</v>
      </c>
      <c r="R522" s="63">
        <f t="shared" si="295"/>
        <v>1000</v>
      </c>
      <c r="S522" s="63">
        <f t="shared" si="295"/>
        <v>1000</v>
      </c>
      <c r="T522" s="7">
        <f t="shared" si="277"/>
        <v>102488.86</v>
      </c>
      <c r="U522" s="8">
        <f t="shared" si="285"/>
        <v>0</v>
      </c>
      <c r="V522" s="8"/>
      <c r="Z522" s="63"/>
      <c r="AA522" s="8"/>
      <c r="AH522" s="61">
        <f t="shared" si="294"/>
        <v>-102488.86</v>
      </c>
      <c r="AI522" s="8"/>
    </row>
    <row r="523" spans="2:35" ht="10.5" customHeight="1" x14ac:dyDescent="0.25">
      <c r="B523" s="62" t="s">
        <v>993</v>
      </c>
      <c r="C523" s="62" t="s">
        <v>994</v>
      </c>
      <c r="D523" s="62"/>
      <c r="F523" s="10">
        <v>0</v>
      </c>
      <c r="G523" s="63">
        <f>SUM(G524:G524)</f>
        <v>0</v>
      </c>
      <c r="H523" s="63">
        <f t="shared" ref="H523:S523" si="296">SUM(H524:H524)</f>
        <v>0</v>
      </c>
      <c r="I523" s="63">
        <f t="shared" si="296"/>
        <v>0</v>
      </c>
      <c r="J523" s="63">
        <f t="shared" si="296"/>
        <v>0</v>
      </c>
      <c r="K523" s="63">
        <f t="shared" si="296"/>
        <v>0</v>
      </c>
      <c r="L523" s="63">
        <f t="shared" si="296"/>
        <v>0</v>
      </c>
      <c r="M523" s="63">
        <f t="shared" si="296"/>
        <v>0</v>
      </c>
      <c r="N523" s="63">
        <f t="shared" si="296"/>
        <v>0</v>
      </c>
      <c r="O523" s="63">
        <f t="shared" si="296"/>
        <v>0</v>
      </c>
      <c r="P523" s="63">
        <f t="shared" si="296"/>
        <v>0</v>
      </c>
      <c r="Q523" s="63">
        <f t="shared" si="296"/>
        <v>0</v>
      </c>
      <c r="R523" s="63">
        <f t="shared" si="296"/>
        <v>0</v>
      </c>
      <c r="S523" s="63">
        <f t="shared" si="296"/>
        <v>0</v>
      </c>
      <c r="T523" s="7">
        <f t="shared" si="277"/>
        <v>0</v>
      </c>
      <c r="U523" s="8">
        <f t="shared" si="285"/>
        <v>0</v>
      </c>
      <c r="V523" s="8"/>
      <c r="Z523" s="63"/>
      <c r="AA523" s="8"/>
      <c r="AI523" s="8"/>
    </row>
    <row r="524" spans="2:35" ht="10.5" customHeight="1" x14ac:dyDescent="0.25">
      <c r="B524" s="64" t="s">
        <v>995</v>
      </c>
      <c r="C524" s="64" t="s">
        <v>996</v>
      </c>
      <c r="D524" s="64" t="s">
        <v>100</v>
      </c>
      <c r="E524" s="51">
        <f t="shared" si="272"/>
        <v>0</v>
      </c>
      <c r="F524" s="10">
        <f t="shared" si="283"/>
        <v>0</v>
      </c>
      <c r="G524" s="10">
        <f>SUM(H524:S524)</f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7">
        <f t="shared" si="277"/>
        <v>0</v>
      </c>
      <c r="U524" s="8">
        <f t="shared" si="285"/>
        <v>0</v>
      </c>
      <c r="V524" s="8"/>
      <c r="Z524" s="10"/>
      <c r="AA524" s="8"/>
      <c r="AI524" s="8">
        <f t="shared" ref="AI524" si="297">+G524</f>
        <v>0</v>
      </c>
    </row>
    <row r="525" spans="2:35" ht="10.5" customHeight="1" x14ac:dyDescent="0.25">
      <c r="B525" s="62" t="s">
        <v>997</v>
      </c>
      <c r="C525" s="62" t="s">
        <v>998</v>
      </c>
      <c r="D525" s="62"/>
      <c r="F525" s="10"/>
      <c r="G525" s="63">
        <f>+G526</f>
        <v>33446.85</v>
      </c>
      <c r="H525" s="63">
        <f t="shared" ref="H525:S525" si="298">+H526</f>
        <v>500</v>
      </c>
      <c r="I525" s="63">
        <f t="shared" si="298"/>
        <v>3596.85</v>
      </c>
      <c r="J525" s="63">
        <f t="shared" si="298"/>
        <v>4000</v>
      </c>
      <c r="K525" s="63">
        <f t="shared" si="298"/>
        <v>3000</v>
      </c>
      <c r="L525" s="63">
        <f t="shared" si="298"/>
        <v>0</v>
      </c>
      <c r="M525" s="63">
        <f t="shared" si="298"/>
        <v>8000</v>
      </c>
      <c r="N525" s="63">
        <f t="shared" si="298"/>
        <v>1000</v>
      </c>
      <c r="O525" s="63">
        <f t="shared" si="298"/>
        <v>2350</v>
      </c>
      <c r="P525" s="63">
        <f t="shared" si="298"/>
        <v>9000</v>
      </c>
      <c r="Q525" s="63">
        <f t="shared" si="298"/>
        <v>0</v>
      </c>
      <c r="R525" s="63">
        <f t="shared" si="298"/>
        <v>1000</v>
      </c>
      <c r="S525" s="63">
        <f t="shared" si="298"/>
        <v>1000</v>
      </c>
      <c r="T525" s="7">
        <f t="shared" si="277"/>
        <v>33446.85</v>
      </c>
      <c r="U525" s="8">
        <f t="shared" si="285"/>
        <v>0</v>
      </c>
      <c r="V525" s="8"/>
      <c r="Z525" s="63"/>
      <c r="AA525" s="8"/>
      <c r="AH525" s="61">
        <f t="shared" ref="AH525:AH618" si="299">+AG525-G525</f>
        <v>-33446.85</v>
      </c>
      <c r="AI525" s="8"/>
    </row>
    <row r="526" spans="2:35" ht="9.75" customHeight="1" x14ac:dyDescent="0.25">
      <c r="B526" s="64" t="s">
        <v>999</v>
      </c>
      <c r="C526" s="64" t="s">
        <v>1000</v>
      </c>
      <c r="D526" s="64" t="s">
        <v>1001</v>
      </c>
      <c r="E526" s="51">
        <f t="shared" si="272"/>
        <v>0</v>
      </c>
      <c r="F526" s="10">
        <f t="shared" si="283"/>
        <v>33446.85</v>
      </c>
      <c r="G526" s="10">
        <f>SUM(H526:S526)</f>
        <v>33446.85</v>
      </c>
      <c r="H526" s="10">
        <v>500</v>
      </c>
      <c r="I526" s="10">
        <v>3596.85</v>
      </c>
      <c r="J526" s="10">
        <v>4000</v>
      </c>
      <c r="K526" s="10">
        <v>3000</v>
      </c>
      <c r="L526" s="10">
        <v>0</v>
      </c>
      <c r="M526" s="10">
        <v>8000</v>
      </c>
      <c r="N526" s="10">
        <v>1000</v>
      </c>
      <c r="O526" s="10">
        <v>2350</v>
      </c>
      <c r="P526" s="10">
        <v>9000</v>
      </c>
      <c r="Q526" s="10">
        <v>0</v>
      </c>
      <c r="R526" s="10">
        <v>1000</v>
      </c>
      <c r="S526" s="10">
        <v>1000</v>
      </c>
      <c r="T526" s="7">
        <f t="shared" si="277"/>
        <v>33446.85</v>
      </c>
      <c r="U526" s="8">
        <f t="shared" si="285"/>
        <v>0</v>
      </c>
      <c r="V526" s="8"/>
      <c r="Z526" s="10"/>
      <c r="AA526" s="8"/>
      <c r="AG526" s="10">
        <f>10191.3*1.03</f>
        <v>10497.038999999999</v>
      </c>
      <c r="AH526" s="61">
        <f t="shared" si="299"/>
        <v>-22949.811000000002</v>
      </c>
      <c r="AI526" s="8">
        <f>+G526</f>
        <v>33446.85</v>
      </c>
    </row>
    <row r="527" spans="2:35" ht="9.75" customHeight="1" x14ac:dyDescent="0.25">
      <c r="B527" s="62" t="s">
        <v>1002</v>
      </c>
      <c r="C527" s="62" t="s">
        <v>1003</v>
      </c>
      <c r="D527" s="62"/>
      <c r="F527" s="10"/>
      <c r="G527" s="63">
        <f t="shared" ref="G527:S527" si="300">+G528</f>
        <v>33842.01</v>
      </c>
      <c r="H527" s="63">
        <f t="shared" si="300"/>
        <v>1587</v>
      </c>
      <c r="I527" s="63">
        <f t="shared" si="300"/>
        <v>1000</v>
      </c>
      <c r="J527" s="63">
        <f t="shared" si="300"/>
        <v>8689.4</v>
      </c>
      <c r="K527" s="63">
        <f t="shared" si="300"/>
        <v>3400</v>
      </c>
      <c r="L527" s="63">
        <f t="shared" si="300"/>
        <v>4100</v>
      </c>
      <c r="M527" s="63">
        <f t="shared" si="300"/>
        <v>3900</v>
      </c>
      <c r="N527" s="63">
        <f t="shared" si="300"/>
        <v>0</v>
      </c>
      <c r="O527" s="63">
        <f t="shared" si="300"/>
        <v>280</v>
      </c>
      <c r="P527" s="63">
        <f t="shared" si="300"/>
        <v>10885.61</v>
      </c>
      <c r="Q527" s="63">
        <f t="shared" si="300"/>
        <v>0</v>
      </c>
      <c r="R527" s="63">
        <f t="shared" si="300"/>
        <v>0</v>
      </c>
      <c r="S527" s="63">
        <f t="shared" si="300"/>
        <v>0</v>
      </c>
      <c r="T527" s="7">
        <f t="shared" si="277"/>
        <v>33842.01</v>
      </c>
      <c r="U527" s="8">
        <f t="shared" si="285"/>
        <v>0</v>
      </c>
      <c r="V527" s="8"/>
      <c r="Z527" s="10"/>
      <c r="AA527" s="8"/>
      <c r="AI527" s="8"/>
    </row>
    <row r="528" spans="2:35" ht="9.75" customHeight="1" x14ac:dyDescent="0.25">
      <c r="B528" s="62" t="s">
        <v>1002</v>
      </c>
      <c r="C528" s="62" t="s">
        <v>1004</v>
      </c>
      <c r="D528" s="62"/>
      <c r="F528" s="10">
        <v>0</v>
      </c>
      <c r="G528" s="63">
        <f>SUM(G529:G557)</f>
        <v>33842.01</v>
      </c>
      <c r="H528" s="63">
        <f t="shared" ref="H528:S528" si="301">SUM(H529:H557)</f>
        <v>1587</v>
      </c>
      <c r="I528" s="63">
        <f t="shared" si="301"/>
        <v>1000</v>
      </c>
      <c r="J528" s="63">
        <f t="shared" si="301"/>
        <v>8689.4</v>
      </c>
      <c r="K528" s="63">
        <f t="shared" si="301"/>
        <v>3400</v>
      </c>
      <c r="L528" s="63">
        <f t="shared" si="301"/>
        <v>4100</v>
      </c>
      <c r="M528" s="63">
        <f t="shared" si="301"/>
        <v>3900</v>
      </c>
      <c r="N528" s="63">
        <f t="shared" si="301"/>
        <v>0</v>
      </c>
      <c r="O528" s="63">
        <f t="shared" si="301"/>
        <v>280</v>
      </c>
      <c r="P528" s="63">
        <f t="shared" si="301"/>
        <v>10885.61</v>
      </c>
      <c r="Q528" s="63">
        <f t="shared" si="301"/>
        <v>0</v>
      </c>
      <c r="R528" s="63">
        <f t="shared" si="301"/>
        <v>0</v>
      </c>
      <c r="S528" s="63">
        <f t="shared" si="301"/>
        <v>0</v>
      </c>
      <c r="T528" s="7">
        <f t="shared" si="277"/>
        <v>33842.01</v>
      </c>
      <c r="U528" s="8">
        <f t="shared" si="285"/>
        <v>0</v>
      </c>
      <c r="V528" s="8"/>
      <c r="Z528" s="10"/>
      <c r="AA528" s="8"/>
      <c r="AI528" s="8"/>
    </row>
    <row r="529" spans="2:35" ht="9.75" customHeight="1" x14ac:dyDescent="0.25">
      <c r="B529" s="64" t="s">
        <v>1005</v>
      </c>
      <c r="C529" s="64" t="s">
        <v>1006</v>
      </c>
      <c r="D529" s="64" t="s">
        <v>1007</v>
      </c>
      <c r="E529" s="51">
        <f t="shared" si="272"/>
        <v>0</v>
      </c>
      <c r="F529" s="10">
        <f t="shared" si="283"/>
        <v>0</v>
      </c>
      <c r="G529" s="10">
        <f>SUM(H529:S529)</f>
        <v>0</v>
      </c>
      <c r="H529" s="10">
        <v>0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10">
        <v>0</v>
      </c>
      <c r="S529" s="10">
        <v>0</v>
      </c>
      <c r="T529" s="7">
        <f t="shared" si="277"/>
        <v>0</v>
      </c>
      <c r="U529" s="8">
        <f t="shared" si="285"/>
        <v>0</v>
      </c>
      <c r="V529" s="8"/>
      <c r="Z529" s="10"/>
      <c r="AA529" s="8"/>
      <c r="AI529" s="8"/>
    </row>
    <row r="530" spans="2:35" ht="9.75" customHeight="1" x14ac:dyDescent="0.25">
      <c r="B530" s="64" t="s">
        <v>1008</v>
      </c>
      <c r="C530" s="64" t="s">
        <v>1009</v>
      </c>
      <c r="D530" s="64" t="s">
        <v>1007</v>
      </c>
      <c r="E530" s="51">
        <f t="shared" si="272"/>
        <v>0</v>
      </c>
      <c r="F530" s="10">
        <f t="shared" si="283"/>
        <v>0</v>
      </c>
      <c r="G530" s="10">
        <f t="shared" ref="G530" si="302">SUM(H530:S530)</f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0</v>
      </c>
      <c r="T530" s="7">
        <f t="shared" si="277"/>
        <v>0</v>
      </c>
      <c r="U530" s="8">
        <f t="shared" si="285"/>
        <v>0</v>
      </c>
      <c r="V530" s="8"/>
      <c r="Z530" s="10"/>
      <c r="AA530" s="8"/>
      <c r="AI530" s="8"/>
    </row>
    <row r="531" spans="2:35" ht="9.75" customHeight="1" x14ac:dyDescent="0.25">
      <c r="B531" s="64" t="s">
        <v>1010</v>
      </c>
      <c r="C531" s="64" t="s">
        <v>1011</v>
      </c>
      <c r="D531" s="64"/>
      <c r="F531" s="10"/>
      <c r="G531" s="10">
        <f>SUM(H531:S531)</f>
        <v>1700</v>
      </c>
      <c r="H531" s="10">
        <v>0</v>
      </c>
      <c r="I531" s="10">
        <v>0</v>
      </c>
      <c r="J531" s="10">
        <v>1700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10">
        <v>0</v>
      </c>
      <c r="S531" s="10">
        <v>0</v>
      </c>
      <c r="T531" s="7">
        <f t="shared" si="277"/>
        <v>1700</v>
      </c>
      <c r="U531" s="8">
        <f t="shared" si="285"/>
        <v>0</v>
      </c>
      <c r="V531" s="8"/>
      <c r="Z531" s="10"/>
      <c r="AA531" s="8"/>
      <c r="AI531" s="8"/>
    </row>
    <row r="532" spans="2:35" ht="9.75" customHeight="1" x14ac:dyDescent="0.25">
      <c r="B532" s="64" t="s">
        <v>1012</v>
      </c>
      <c r="C532" s="64" t="s">
        <v>1013</v>
      </c>
      <c r="D532" s="64" t="s">
        <v>1007</v>
      </c>
      <c r="E532" s="51">
        <f t="shared" si="272"/>
        <v>0</v>
      </c>
      <c r="F532" s="10">
        <f t="shared" ref="F532:F557" si="303">+G532</f>
        <v>0</v>
      </c>
      <c r="G532" s="10">
        <f t="shared" ref="G532:G560" si="304">SUM(H532:S532)</f>
        <v>0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7">
        <f t="shared" si="277"/>
        <v>0</v>
      </c>
      <c r="U532" s="8">
        <f t="shared" si="285"/>
        <v>0</v>
      </c>
      <c r="V532" s="8"/>
      <c r="Z532" s="10"/>
      <c r="AA532" s="8"/>
      <c r="AI532" s="8"/>
    </row>
    <row r="533" spans="2:35" ht="9.75" customHeight="1" x14ac:dyDescent="0.25">
      <c r="B533" s="64" t="s">
        <v>1014</v>
      </c>
      <c r="C533" s="64" t="s">
        <v>1015</v>
      </c>
      <c r="D533" s="64" t="s">
        <v>1007</v>
      </c>
      <c r="E533" s="51">
        <f t="shared" si="272"/>
        <v>0</v>
      </c>
      <c r="F533" s="10">
        <f t="shared" si="303"/>
        <v>9983.1</v>
      </c>
      <c r="G533" s="10">
        <f t="shared" si="304"/>
        <v>9983.1</v>
      </c>
      <c r="H533" s="10">
        <v>0</v>
      </c>
      <c r="I533" s="10">
        <v>800</v>
      </c>
      <c r="J533" s="10">
        <v>826</v>
      </c>
      <c r="K533" s="10">
        <v>200</v>
      </c>
      <c r="L533" s="10">
        <v>400</v>
      </c>
      <c r="M533" s="10">
        <v>400</v>
      </c>
      <c r="N533" s="10">
        <v>0</v>
      </c>
      <c r="O533" s="10">
        <v>0</v>
      </c>
      <c r="P533" s="10">
        <v>7357.1</v>
      </c>
      <c r="Q533" s="10">
        <v>0</v>
      </c>
      <c r="R533" s="10">
        <v>0</v>
      </c>
      <c r="S533" s="10">
        <v>0</v>
      </c>
      <c r="T533" s="7">
        <f t="shared" si="277"/>
        <v>9983.1</v>
      </c>
      <c r="U533" s="8">
        <f t="shared" si="285"/>
        <v>0</v>
      </c>
      <c r="V533" s="8"/>
      <c r="Z533" s="10"/>
      <c r="AA533" s="8"/>
      <c r="AI533" s="8"/>
    </row>
    <row r="534" spans="2:35" ht="9.75" customHeight="1" x14ac:dyDescent="0.25">
      <c r="B534" s="64" t="s">
        <v>1016</v>
      </c>
      <c r="C534" s="64" t="s">
        <v>1017</v>
      </c>
      <c r="D534" s="64" t="s">
        <v>1007</v>
      </c>
      <c r="E534" s="51">
        <f t="shared" si="272"/>
        <v>0</v>
      </c>
      <c r="F534" s="10">
        <f t="shared" si="303"/>
        <v>0</v>
      </c>
      <c r="G534" s="10">
        <f t="shared" si="304"/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7">
        <f t="shared" si="277"/>
        <v>0</v>
      </c>
      <c r="U534" s="8">
        <f t="shared" si="285"/>
        <v>0</v>
      </c>
      <c r="V534" s="8"/>
      <c r="Z534" s="10"/>
      <c r="AA534" s="8"/>
      <c r="AI534" s="8"/>
    </row>
    <row r="535" spans="2:35" ht="9.75" customHeight="1" x14ac:dyDescent="0.25">
      <c r="B535" s="64" t="s">
        <v>1018</v>
      </c>
      <c r="C535" s="64" t="s">
        <v>1019</v>
      </c>
      <c r="D535" s="64" t="s">
        <v>1007</v>
      </c>
      <c r="E535" s="51">
        <f t="shared" si="272"/>
        <v>0</v>
      </c>
      <c r="F535" s="10">
        <f t="shared" si="303"/>
        <v>0</v>
      </c>
      <c r="G535" s="10">
        <f t="shared" si="304"/>
        <v>0</v>
      </c>
      <c r="H535" s="10">
        <v>0</v>
      </c>
      <c r="I535" s="10">
        <v>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10">
        <v>0</v>
      </c>
      <c r="S535" s="10">
        <v>0</v>
      </c>
      <c r="T535" s="7">
        <f t="shared" si="277"/>
        <v>0</v>
      </c>
      <c r="U535" s="8">
        <f t="shared" si="285"/>
        <v>0</v>
      </c>
      <c r="V535" s="8"/>
      <c r="Z535" s="10"/>
      <c r="AA535" s="8"/>
      <c r="AI535" s="8"/>
    </row>
    <row r="536" spans="2:35" ht="9.75" customHeight="1" x14ac:dyDescent="0.25">
      <c r="B536" s="64" t="s">
        <v>1020</v>
      </c>
      <c r="C536" s="64" t="s">
        <v>1021</v>
      </c>
      <c r="D536" s="64" t="s">
        <v>1007</v>
      </c>
      <c r="E536" s="51">
        <f t="shared" si="272"/>
        <v>0</v>
      </c>
      <c r="F536" s="10">
        <f t="shared" si="303"/>
        <v>1200</v>
      </c>
      <c r="G536" s="10">
        <f t="shared" si="304"/>
        <v>1200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  <c r="M536" s="10">
        <v>1200</v>
      </c>
      <c r="N536" s="10">
        <v>0</v>
      </c>
      <c r="O536" s="10">
        <v>0</v>
      </c>
      <c r="P536" s="10">
        <v>0</v>
      </c>
      <c r="Q536" s="10">
        <v>0</v>
      </c>
      <c r="R536" s="10">
        <v>0</v>
      </c>
      <c r="S536" s="10">
        <v>0</v>
      </c>
      <c r="T536" s="7">
        <f t="shared" si="277"/>
        <v>1200</v>
      </c>
      <c r="U536" s="8">
        <f t="shared" si="285"/>
        <v>0</v>
      </c>
      <c r="V536" s="8"/>
      <c r="Z536" s="10"/>
      <c r="AA536" s="8"/>
      <c r="AI536" s="8"/>
    </row>
    <row r="537" spans="2:35" ht="9.75" customHeight="1" x14ac:dyDescent="0.25">
      <c r="B537" s="64" t="s">
        <v>1022</v>
      </c>
      <c r="C537" s="64" t="s">
        <v>1023</v>
      </c>
      <c r="D537" s="64" t="s">
        <v>1007</v>
      </c>
      <c r="E537" s="51">
        <f t="shared" si="272"/>
        <v>0</v>
      </c>
      <c r="F537" s="10">
        <f t="shared" si="303"/>
        <v>1652.7</v>
      </c>
      <c r="G537" s="10">
        <f t="shared" si="304"/>
        <v>1652.7</v>
      </c>
      <c r="H537" s="10">
        <v>1087</v>
      </c>
      <c r="I537" s="10">
        <v>0</v>
      </c>
      <c r="J537" s="10">
        <v>565.70000000000005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7">
        <f t="shared" si="277"/>
        <v>1652.7</v>
      </c>
      <c r="U537" s="8">
        <f t="shared" si="285"/>
        <v>0</v>
      </c>
      <c r="V537" s="8"/>
      <c r="Z537" s="10"/>
      <c r="AA537" s="8"/>
      <c r="AI537" s="8"/>
    </row>
    <row r="538" spans="2:35" ht="9.75" customHeight="1" x14ac:dyDescent="0.25">
      <c r="B538" s="64" t="s">
        <v>1024</v>
      </c>
      <c r="C538" s="64" t="s">
        <v>1025</v>
      </c>
      <c r="D538" s="64" t="s">
        <v>1007</v>
      </c>
      <c r="E538" s="51">
        <f t="shared" si="272"/>
        <v>0</v>
      </c>
      <c r="F538" s="10">
        <f t="shared" si="303"/>
        <v>0</v>
      </c>
      <c r="G538" s="10">
        <f t="shared" si="304"/>
        <v>0</v>
      </c>
      <c r="H538" s="10">
        <v>0</v>
      </c>
      <c r="I538" s="10">
        <v>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10">
        <v>0</v>
      </c>
      <c r="S538" s="10">
        <v>0</v>
      </c>
      <c r="T538" s="7">
        <f t="shared" si="277"/>
        <v>0</v>
      </c>
      <c r="U538" s="8">
        <f t="shared" si="285"/>
        <v>0</v>
      </c>
      <c r="V538" s="8"/>
      <c r="Z538" s="10"/>
      <c r="AA538" s="8"/>
      <c r="AI538" s="8"/>
    </row>
    <row r="539" spans="2:35" ht="9.75" customHeight="1" x14ac:dyDescent="0.25">
      <c r="B539" s="64" t="s">
        <v>1026</v>
      </c>
      <c r="C539" s="64" t="s">
        <v>1027</v>
      </c>
      <c r="D539" s="64" t="s">
        <v>1007</v>
      </c>
      <c r="E539" s="51">
        <f t="shared" si="272"/>
        <v>0</v>
      </c>
      <c r="F539" s="10">
        <f t="shared" si="303"/>
        <v>0</v>
      </c>
      <c r="G539" s="10">
        <f t="shared" si="304"/>
        <v>0</v>
      </c>
      <c r="H539" s="10">
        <v>0</v>
      </c>
      <c r="I539" s="10">
        <v>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7">
        <f t="shared" si="277"/>
        <v>0</v>
      </c>
      <c r="U539" s="8">
        <f t="shared" si="285"/>
        <v>0</v>
      </c>
      <c r="V539" s="8"/>
      <c r="Z539" s="10"/>
      <c r="AA539" s="8"/>
      <c r="AI539" s="8"/>
    </row>
    <row r="540" spans="2:35" ht="9.75" customHeight="1" x14ac:dyDescent="0.25">
      <c r="B540" s="64" t="s">
        <v>1028</v>
      </c>
      <c r="C540" s="64" t="s">
        <v>1029</v>
      </c>
      <c r="D540" s="64" t="s">
        <v>1007</v>
      </c>
      <c r="E540" s="51">
        <f t="shared" si="272"/>
        <v>0</v>
      </c>
      <c r="F540" s="10">
        <f t="shared" si="303"/>
        <v>3612</v>
      </c>
      <c r="G540" s="10">
        <f t="shared" si="304"/>
        <v>3612</v>
      </c>
      <c r="H540" s="10">
        <v>0</v>
      </c>
      <c r="I540" s="10">
        <v>0</v>
      </c>
      <c r="J540" s="10">
        <v>1332</v>
      </c>
      <c r="K540" s="10">
        <v>200</v>
      </c>
      <c r="L540" s="10">
        <v>400</v>
      </c>
      <c r="M540" s="10">
        <v>1400</v>
      </c>
      <c r="N540" s="10"/>
      <c r="O540" s="10">
        <v>280</v>
      </c>
      <c r="P540" s="10">
        <v>0</v>
      </c>
      <c r="Q540" s="10">
        <v>0</v>
      </c>
      <c r="R540" s="10">
        <v>0</v>
      </c>
      <c r="S540" s="10">
        <v>0</v>
      </c>
      <c r="T540" s="7">
        <f t="shared" si="277"/>
        <v>3612</v>
      </c>
      <c r="U540" s="8">
        <f t="shared" si="285"/>
        <v>0</v>
      </c>
      <c r="V540" s="8"/>
      <c r="Z540" s="10"/>
      <c r="AA540" s="8"/>
      <c r="AI540" s="8"/>
    </row>
    <row r="541" spans="2:35" ht="9.75" customHeight="1" x14ac:dyDescent="0.25">
      <c r="B541" s="64" t="s">
        <v>1030</v>
      </c>
      <c r="C541" s="64" t="s">
        <v>1031</v>
      </c>
      <c r="D541" s="64" t="s">
        <v>1007</v>
      </c>
      <c r="E541" s="51">
        <f t="shared" si="272"/>
        <v>0</v>
      </c>
      <c r="F541" s="10">
        <f t="shared" si="303"/>
        <v>8700</v>
      </c>
      <c r="G541" s="10">
        <f t="shared" si="304"/>
        <v>8700</v>
      </c>
      <c r="H541" s="10">
        <v>500</v>
      </c>
      <c r="I541" s="10">
        <v>0</v>
      </c>
      <c r="J541" s="10">
        <v>3500</v>
      </c>
      <c r="K541" s="10">
        <v>3000</v>
      </c>
      <c r="L541" s="10">
        <v>1000</v>
      </c>
      <c r="M541" s="10">
        <v>700</v>
      </c>
      <c r="N541" s="10"/>
      <c r="O541" s="10"/>
      <c r="P541" s="10">
        <v>0</v>
      </c>
      <c r="Q541" s="10">
        <v>0</v>
      </c>
      <c r="R541" s="10">
        <v>0</v>
      </c>
      <c r="S541" s="10">
        <v>0</v>
      </c>
      <c r="T541" s="7">
        <f t="shared" si="277"/>
        <v>8700</v>
      </c>
      <c r="U541" s="8">
        <f t="shared" si="285"/>
        <v>0</v>
      </c>
      <c r="V541" s="8"/>
      <c r="Z541" s="10"/>
      <c r="AA541" s="8"/>
      <c r="AI541" s="8"/>
    </row>
    <row r="542" spans="2:35" ht="9.75" customHeight="1" x14ac:dyDescent="0.25">
      <c r="B542" s="64" t="s">
        <v>1032</v>
      </c>
      <c r="C542" s="64" t="s">
        <v>1033</v>
      </c>
      <c r="D542" s="64" t="s">
        <v>1007</v>
      </c>
      <c r="E542" s="51">
        <f t="shared" ref="E542:E587" si="305">+F542-G542</f>
        <v>0</v>
      </c>
      <c r="F542" s="10">
        <f t="shared" si="303"/>
        <v>2714.25</v>
      </c>
      <c r="G542" s="10">
        <f t="shared" si="304"/>
        <v>2714.25</v>
      </c>
      <c r="H542" s="10"/>
      <c r="I542" s="10"/>
      <c r="J542" s="10"/>
      <c r="K542" s="10"/>
      <c r="L542" s="10"/>
      <c r="M542" s="10"/>
      <c r="N542" s="10"/>
      <c r="O542" s="10"/>
      <c r="P542" s="10">
        <v>2714.25</v>
      </c>
      <c r="Q542" s="10">
        <v>0</v>
      </c>
      <c r="R542" s="10">
        <v>0</v>
      </c>
      <c r="S542" s="10">
        <v>0</v>
      </c>
      <c r="T542" s="7">
        <f t="shared" si="277"/>
        <v>2714.25</v>
      </c>
      <c r="U542" s="8">
        <f t="shared" si="285"/>
        <v>0</v>
      </c>
      <c r="V542" s="8"/>
      <c r="Z542" s="10"/>
      <c r="AA542" s="8"/>
      <c r="AI542" s="8"/>
    </row>
    <row r="543" spans="2:35" ht="9.75" customHeight="1" x14ac:dyDescent="0.25">
      <c r="B543" s="64" t="s">
        <v>1034</v>
      </c>
      <c r="C543" s="64" t="s">
        <v>1035</v>
      </c>
      <c r="D543" s="64" t="s">
        <v>1007</v>
      </c>
      <c r="E543" s="51">
        <f t="shared" si="305"/>
        <v>0</v>
      </c>
      <c r="F543" s="10">
        <f t="shared" si="303"/>
        <v>542.84</v>
      </c>
      <c r="G543" s="10">
        <f t="shared" si="304"/>
        <v>542.84</v>
      </c>
      <c r="H543" s="10"/>
      <c r="I543" s="10"/>
      <c r="J543" s="10"/>
      <c r="K543" s="10"/>
      <c r="L543" s="10"/>
      <c r="M543" s="10"/>
      <c r="N543" s="10"/>
      <c r="O543" s="10"/>
      <c r="P543" s="10">
        <v>542.84</v>
      </c>
      <c r="Q543" s="10">
        <v>0</v>
      </c>
      <c r="R543" s="10">
        <v>0</v>
      </c>
      <c r="S543" s="10">
        <v>0</v>
      </c>
      <c r="T543" s="7">
        <f t="shared" si="277"/>
        <v>542.84</v>
      </c>
      <c r="U543" s="8">
        <f t="shared" si="285"/>
        <v>0</v>
      </c>
      <c r="V543" s="8"/>
      <c r="Z543" s="10"/>
      <c r="AA543" s="8"/>
      <c r="AI543" s="8"/>
    </row>
    <row r="544" spans="2:35" ht="9.75" customHeight="1" x14ac:dyDescent="0.25">
      <c r="B544" s="64" t="s">
        <v>1036</v>
      </c>
      <c r="C544" s="64" t="s">
        <v>1037</v>
      </c>
      <c r="D544" s="64" t="s">
        <v>1007</v>
      </c>
      <c r="E544" s="51">
        <f t="shared" si="305"/>
        <v>0</v>
      </c>
      <c r="F544" s="10">
        <f t="shared" si="303"/>
        <v>837.12000000000012</v>
      </c>
      <c r="G544" s="10">
        <f t="shared" si="304"/>
        <v>837.12000000000012</v>
      </c>
      <c r="H544" s="10">
        <v>0</v>
      </c>
      <c r="I544" s="10">
        <v>0</v>
      </c>
      <c r="J544" s="10">
        <v>565.70000000000005</v>
      </c>
      <c r="K544" s="10">
        <v>0</v>
      </c>
      <c r="L544" s="10">
        <v>0</v>
      </c>
      <c r="M544" s="10">
        <v>0</v>
      </c>
      <c r="N544" s="10"/>
      <c r="O544" s="10"/>
      <c r="P544" s="10">
        <v>271.42</v>
      </c>
      <c r="Q544" s="10">
        <v>0</v>
      </c>
      <c r="R544" s="10">
        <v>0</v>
      </c>
      <c r="S544" s="10">
        <v>0</v>
      </c>
      <c r="T544" s="7">
        <f t="shared" si="277"/>
        <v>837.12000000000012</v>
      </c>
      <c r="U544" s="8">
        <f t="shared" si="285"/>
        <v>0</v>
      </c>
      <c r="V544" s="8"/>
      <c r="Z544" s="10"/>
      <c r="AA544" s="8"/>
      <c r="AI544" s="8"/>
    </row>
    <row r="545" spans="2:35" ht="9.75" customHeight="1" x14ac:dyDescent="0.25">
      <c r="B545" s="64" t="s">
        <v>1038</v>
      </c>
      <c r="C545" s="64" t="s">
        <v>1039</v>
      </c>
      <c r="D545" s="64" t="s">
        <v>1007</v>
      </c>
      <c r="E545" s="51">
        <f t="shared" si="305"/>
        <v>0</v>
      </c>
      <c r="F545" s="10">
        <f t="shared" si="303"/>
        <v>0</v>
      </c>
      <c r="G545" s="10">
        <f t="shared" si="304"/>
        <v>0</v>
      </c>
      <c r="H545" s="10"/>
      <c r="I545" s="10"/>
      <c r="J545" s="10"/>
      <c r="K545" s="10"/>
      <c r="L545" s="10"/>
      <c r="M545" s="10"/>
      <c r="N545" s="10"/>
      <c r="O545" s="10"/>
      <c r="P545" s="10">
        <v>0</v>
      </c>
      <c r="Q545" s="10">
        <v>0</v>
      </c>
      <c r="R545" s="10">
        <v>0</v>
      </c>
      <c r="S545" s="10">
        <v>0</v>
      </c>
      <c r="T545" s="7">
        <f t="shared" si="277"/>
        <v>0</v>
      </c>
      <c r="U545" s="8">
        <f t="shared" si="285"/>
        <v>0</v>
      </c>
      <c r="V545" s="8"/>
      <c r="Z545" s="10"/>
      <c r="AA545" s="8"/>
      <c r="AI545" s="8"/>
    </row>
    <row r="546" spans="2:35" ht="9.75" customHeight="1" x14ac:dyDescent="0.25">
      <c r="B546" s="64" t="s">
        <v>1040</v>
      </c>
      <c r="C546" s="64" t="s">
        <v>1041</v>
      </c>
      <c r="D546" s="64" t="s">
        <v>1007</v>
      </c>
      <c r="E546" s="51">
        <f t="shared" si="305"/>
        <v>0</v>
      </c>
      <c r="F546" s="10">
        <f t="shared" si="303"/>
        <v>0</v>
      </c>
      <c r="G546" s="10">
        <f t="shared" si="304"/>
        <v>0</v>
      </c>
      <c r="H546" s="10"/>
      <c r="I546" s="10"/>
      <c r="J546" s="10"/>
      <c r="K546" s="10"/>
      <c r="L546" s="10"/>
      <c r="M546" s="10"/>
      <c r="N546" s="10"/>
      <c r="O546" s="10"/>
      <c r="P546" s="10">
        <v>0</v>
      </c>
      <c r="Q546" s="10">
        <v>0</v>
      </c>
      <c r="R546" s="10">
        <v>0</v>
      </c>
      <c r="S546" s="10">
        <v>0</v>
      </c>
      <c r="T546" s="7">
        <f t="shared" si="277"/>
        <v>0</v>
      </c>
      <c r="U546" s="8">
        <f t="shared" si="285"/>
        <v>0</v>
      </c>
      <c r="V546" s="8"/>
      <c r="Z546" s="10"/>
      <c r="AA546" s="8"/>
      <c r="AI546" s="8"/>
    </row>
    <row r="547" spans="2:35" ht="9.75" customHeight="1" x14ac:dyDescent="0.25">
      <c r="B547" s="64" t="s">
        <v>1042</v>
      </c>
      <c r="C547" s="64" t="s">
        <v>1043</v>
      </c>
      <c r="D547" s="64" t="s">
        <v>1007</v>
      </c>
      <c r="E547" s="51">
        <f t="shared" si="305"/>
        <v>0</v>
      </c>
      <c r="F547" s="10">
        <f t="shared" si="303"/>
        <v>0</v>
      </c>
      <c r="G547" s="10">
        <f t="shared" si="304"/>
        <v>0</v>
      </c>
      <c r="H547" s="10"/>
      <c r="I547" s="10"/>
      <c r="J547" s="10"/>
      <c r="K547" s="10"/>
      <c r="L547" s="10"/>
      <c r="M547" s="10"/>
      <c r="N547" s="10"/>
      <c r="O547" s="10"/>
      <c r="P547" s="10">
        <v>0</v>
      </c>
      <c r="Q547" s="10">
        <v>0</v>
      </c>
      <c r="R547" s="10">
        <v>0</v>
      </c>
      <c r="S547" s="10">
        <v>0</v>
      </c>
      <c r="T547" s="7">
        <f t="shared" si="277"/>
        <v>0</v>
      </c>
      <c r="U547" s="8">
        <f t="shared" si="285"/>
        <v>0</v>
      </c>
      <c r="V547" s="8"/>
      <c r="Z547" s="10"/>
      <c r="AA547" s="8"/>
      <c r="AI547" s="8"/>
    </row>
    <row r="548" spans="2:35" ht="9.75" customHeight="1" x14ac:dyDescent="0.25">
      <c r="B548" s="64" t="s">
        <v>1044</v>
      </c>
      <c r="C548" s="64" t="s">
        <v>1045</v>
      </c>
      <c r="D548" s="64" t="s">
        <v>1007</v>
      </c>
      <c r="E548" s="51">
        <f t="shared" si="305"/>
        <v>0</v>
      </c>
      <c r="F548" s="10">
        <f t="shared" si="303"/>
        <v>0</v>
      </c>
      <c r="G548" s="10">
        <f t="shared" si="304"/>
        <v>0</v>
      </c>
      <c r="H548" s="10"/>
      <c r="I548" s="10"/>
      <c r="J548" s="10"/>
      <c r="K548" s="10"/>
      <c r="L548" s="10"/>
      <c r="M548" s="10"/>
      <c r="N548" s="10"/>
      <c r="O548" s="10"/>
      <c r="P548" s="10">
        <v>0</v>
      </c>
      <c r="Q548" s="10">
        <v>0</v>
      </c>
      <c r="R548" s="10">
        <v>0</v>
      </c>
      <c r="S548" s="10">
        <v>0</v>
      </c>
      <c r="T548" s="7">
        <f t="shared" si="277"/>
        <v>0</v>
      </c>
      <c r="U548" s="8">
        <f t="shared" si="285"/>
        <v>0</v>
      </c>
      <c r="V548" s="8"/>
      <c r="Z548" s="10"/>
      <c r="AA548" s="8"/>
      <c r="AI548" s="8"/>
    </row>
    <row r="549" spans="2:35" ht="9.75" customHeight="1" x14ac:dyDescent="0.25">
      <c r="B549" s="64" t="s">
        <v>1046</v>
      </c>
      <c r="C549" s="64" t="s">
        <v>1047</v>
      </c>
      <c r="D549" s="64" t="s">
        <v>1007</v>
      </c>
      <c r="E549" s="51">
        <f t="shared" si="305"/>
        <v>0</v>
      </c>
      <c r="F549" s="10">
        <f t="shared" si="303"/>
        <v>0</v>
      </c>
      <c r="G549" s="10">
        <f t="shared" si="304"/>
        <v>0</v>
      </c>
      <c r="H549" s="10"/>
      <c r="I549" s="10"/>
      <c r="J549" s="10"/>
      <c r="K549" s="10"/>
      <c r="L549" s="10"/>
      <c r="M549" s="10"/>
      <c r="N549" s="10"/>
      <c r="O549" s="10"/>
      <c r="P549" s="10">
        <v>0</v>
      </c>
      <c r="Q549" s="10">
        <v>0</v>
      </c>
      <c r="R549" s="10">
        <v>0</v>
      </c>
      <c r="S549" s="10">
        <v>0</v>
      </c>
      <c r="T549" s="7">
        <f t="shared" si="277"/>
        <v>0</v>
      </c>
      <c r="U549" s="8">
        <f t="shared" si="285"/>
        <v>0</v>
      </c>
      <c r="V549" s="8"/>
      <c r="Z549" s="10"/>
      <c r="AA549" s="8"/>
      <c r="AI549" s="8"/>
    </row>
    <row r="550" spans="2:35" ht="9.75" customHeight="1" x14ac:dyDescent="0.25">
      <c r="B550" s="64" t="s">
        <v>1048</v>
      </c>
      <c r="C550" s="64" t="s">
        <v>1049</v>
      </c>
      <c r="D550" s="64" t="s">
        <v>1007</v>
      </c>
      <c r="E550" s="51">
        <f t="shared" si="305"/>
        <v>0</v>
      </c>
      <c r="F550" s="10">
        <f t="shared" si="303"/>
        <v>0</v>
      </c>
      <c r="G550" s="10">
        <f t="shared" si="304"/>
        <v>0</v>
      </c>
      <c r="H550" s="10"/>
      <c r="I550" s="10"/>
      <c r="J550" s="10"/>
      <c r="K550" s="10"/>
      <c r="L550" s="10"/>
      <c r="M550" s="10"/>
      <c r="N550" s="10"/>
      <c r="O550" s="10"/>
      <c r="P550" s="10">
        <v>0</v>
      </c>
      <c r="Q550" s="10">
        <v>0</v>
      </c>
      <c r="R550" s="10">
        <v>0</v>
      </c>
      <c r="S550" s="10">
        <v>0</v>
      </c>
      <c r="T550" s="7">
        <f t="shared" si="277"/>
        <v>0</v>
      </c>
      <c r="U550" s="8">
        <f t="shared" si="285"/>
        <v>0</v>
      </c>
      <c r="V550" s="8"/>
      <c r="Z550" s="10"/>
      <c r="AA550" s="8"/>
      <c r="AI550" s="8"/>
    </row>
    <row r="551" spans="2:35" ht="9.75" customHeight="1" x14ac:dyDescent="0.25">
      <c r="B551" s="64" t="s">
        <v>1050</v>
      </c>
      <c r="C551" s="64" t="s">
        <v>1051</v>
      </c>
      <c r="D551" s="64" t="s">
        <v>1007</v>
      </c>
      <c r="E551" s="51">
        <f t="shared" si="305"/>
        <v>0</v>
      </c>
      <c r="F551" s="10">
        <f t="shared" si="303"/>
        <v>1700</v>
      </c>
      <c r="G551" s="10">
        <f t="shared" si="304"/>
        <v>1700</v>
      </c>
      <c r="H551" s="10">
        <v>0</v>
      </c>
      <c r="I551" s="10">
        <v>200</v>
      </c>
      <c r="J551" s="10">
        <v>200</v>
      </c>
      <c r="K551" s="10">
        <v>0</v>
      </c>
      <c r="L551" s="10">
        <v>1100</v>
      </c>
      <c r="M551" s="10">
        <v>200</v>
      </c>
      <c r="N551" s="10"/>
      <c r="O551" s="10"/>
      <c r="P551" s="10">
        <v>0</v>
      </c>
      <c r="Q551" s="10">
        <v>0</v>
      </c>
      <c r="R551" s="10">
        <v>0</v>
      </c>
      <c r="S551" s="10">
        <v>0</v>
      </c>
      <c r="T551" s="7">
        <f t="shared" si="277"/>
        <v>1700</v>
      </c>
      <c r="U551" s="8">
        <f t="shared" si="285"/>
        <v>0</v>
      </c>
      <c r="V551" s="8"/>
      <c r="Z551" s="10"/>
      <c r="AA551" s="8"/>
      <c r="AI551" s="8"/>
    </row>
    <row r="552" spans="2:35" ht="9.75" customHeight="1" x14ac:dyDescent="0.25">
      <c r="B552" s="64" t="s">
        <v>1052</v>
      </c>
      <c r="C552" s="64" t="s">
        <v>1053</v>
      </c>
      <c r="D552" s="64" t="s">
        <v>1007</v>
      </c>
      <c r="E552" s="51">
        <f t="shared" si="305"/>
        <v>0</v>
      </c>
      <c r="F552" s="10">
        <f t="shared" si="303"/>
        <v>0</v>
      </c>
      <c r="G552" s="10">
        <f t="shared" si="304"/>
        <v>0</v>
      </c>
      <c r="H552" s="10"/>
      <c r="I552" s="10"/>
      <c r="J552" s="10"/>
      <c r="K552" s="10"/>
      <c r="L552" s="10"/>
      <c r="M552" s="10"/>
      <c r="N552" s="10"/>
      <c r="O552" s="10"/>
      <c r="P552" s="10">
        <v>0</v>
      </c>
      <c r="Q552" s="10">
        <v>0</v>
      </c>
      <c r="R552" s="10">
        <v>0</v>
      </c>
      <c r="S552" s="10">
        <v>0</v>
      </c>
      <c r="T552" s="7">
        <f t="shared" ref="T552:T615" si="306">SUM(H552:S552)</f>
        <v>0</v>
      </c>
      <c r="U552" s="8">
        <f t="shared" si="285"/>
        <v>0</v>
      </c>
      <c r="V552" s="8"/>
      <c r="Z552" s="10"/>
      <c r="AA552" s="8"/>
      <c r="AI552" s="8"/>
    </row>
    <row r="553" spans="2:35" ht="9.75" customHeight="1" x14ac:dyDescent="0.25">
      <c r="B553" s="64" t="s">
        <v>1054</v>
      </c>
      <c r="C553" s="64" t="s">
        <v>1055</v>
      </c>
      <c r="D553" s="64" t="s">
        <v>1007</v>
      </c>
      <c r="E553" s="51">
        <f t="shared" si="305"/>
        <v>0</v>
      </c>
      <c r="F553" s="10">
        <f t="shared" si="303"/>
        <v>0</v>
      </c>
      <c r="G553" s="10">
        <f t="shared" si="304"/>
        <v>0</v>
      </c>
      <c r="H553" s="10"/>
      <c r="I553" s="10"/>
      <c r="J553" s="10"/>
      <c r="K553" s="10"/>
      <c r="L553" s="10"/>
      <c r="M553" s="10"/>
      <c r="N553" s="10"/>
      <c r="O553" s="10"/>
      <c r="P553" s="10">
        <v>0</v>
      </c>
      <c r="Q553" s="10">
        <v>0</v>
      </c>
      <c r="R553" s="10">
        <v>0</v>
      </c>
      <c r="S553" s="10">
        <v>0</v>
      </c>
      <c r="T553" s="7">
        <f t="shared" si="306"/>
        <v>0</v>
      </c>
      <c r="U553" s="8">
        <f t="shared" si="285"/>
        <v>0</v>
      </c>
      <c r="V553" s="8"/>
      <c r="Z553" s="10"/>
      <c r="AA553" s="8"/>
      <c r="AI553" s="8"/>
    </row>
    <row r="554" spans="2:35" ht="9.75" customHeight="1" x14ac:dyDescent="0.25">
      <c r="B554" s="64" t="s">
        <v>1056</v>
      </c>
      <c r="C554" s="64" t="s">
        <v>1057</v>
      </c>
      <c r="D554" s="64" t="s">
        <v>1007</v>
      </c>
      <c r="E554" s="51">
        <f t="shared" si="305"/>
        <v>0</v>
      </c>
      <c r="F554" s="10">
        <f t="shared" si="303"/>
        <v>0</v>
      </c>
      <c r="G554" s="10">
        <f t="shared" si="304"/>
        <v>0</v>
      </c>
      <c r="H554" s="10"/>
      <c r="I554" s="10"/>
      <c r="J554" s="10"/>
      <c r="K554" s="10"/>
      <c r="L554" s="10"/>
      <c r="M554" s="10"/>
      <c r="N554" s="10"/>
      <c r="O554" s="10"/>
      <c r="P554" s="10">
        <v>0</v>
      </c>
      <c r="Q554" s="10">
        <v>0</v>
      </c>
      <c r="R554" s="10">
        <v>0</v>
      </c>
      <c r="S554" s="10">
        <v>0</v>
      </c>
      <c r="T554" s="7">
        <f t="shared" si="306"/>
        <v>0</v>
      </c>
      <c r="U554" s="8">
        <f t="shared" si="285"/>
        <v>0</v>
      </c>
      <c r="V554" s="8"/>
      <c r="Z554" s="10"/>
      <c r="AA554" s="8"/>
      <c r="AI554" s="8"/>
    </row>
    <row r="555" spans="2:35" ht="9.75" customHeight="1" x14ac:dyDescent="0.25">
      <c r="B555" s="64" t="s">
        <v>1058</v>
      </c>
      <c r="C555" s="64" t="s">
        <v>1059</v>
      </c>
      <c r="D555" s="64" t="s">
        <v>1007</v>
      </c>
      <c r="E555" s="51">
        <f t="shared" si="305"/>
        <v>0</v>
      </c>
      <c r="F555" s="10">
        <f t="shared" si="303"/>
        <v>0</v>
      </c>
      <c r="G555" s="10">
        <f t="shared" si="304"/>
        <v>0</v>
      </c>
      <c r="H555" s="10"/>
      <c r="I555" s="10"/>
      <c r="J555" s="10"/>
      <c r="K555" s="10"/>
      <c r="L555" s="10"/>
      <c r="M555" s="10"/>
      <c r="N555" s="10"/>
      <c r="O555" s="10"/>
      <c r="P555" s="10">
        <v>0</v>
      </c>
      <c r="Q555" s="10">
        <v>0</v>
      </c>
      <c r="R555" s="10">
        <v>0</v>
      </c>
      <c r="S555" s="10">
        <v>0</v>
      </c>
      <c r="T555" s="7">
        <f t="shared" si="306"/>
        <v>0</v>
      </c>
      <c r="U555" s="8">
        <f t="shared" si="285"/>
        <v>0</v>
      </c>
      <c r="V555" s="8"/>
      <c r="Z555" s="10"/>
      <c r="AA555" s="8"/>
      <c r="AI555" s="8"/>
    </row>
    <row r="556" spans="2:35" ht="9.75" customHeight="1" x14ac:dyDescent="0.25">
      <c r="B556" s="64" t="s">
        <v>1060</v>
      </c>
      <c r="C556" s="64" t="s">
        <v>1061</v>
      </c>
      <c r="D556" s="64" t="s">
        <v>1007</v>
      </c>
      <c r="E556" s="51">
        <f t="shared" si="305"/>
        <v>0</v>
      </c>
      <c r="F556" s="10">
        <f t="shared" si="303"/>
        <v>1200</v>
      </c>
      <c r="G556" s="10">
        <f t="shared" si="304"/>
        <v>1200</v>
      </c>
      <c r="H556" s="10">
        <v>0</v>
      </c>
      <c r="I556" s="10">
        <v>0</v>
      </c>
      <c r="J556" s="10">
        <v>0</v>
      </c>
      <c r="K556" s="10">
        <v>0</v>
      </c>
      <c r="L556" s="10">
        <v>1200</v>
      </c>
      <c r="M556" s="10">
        <v>0</v>
      </c>
      <c r="N556" s="10"/>
      <c r="O556" s="10"/>
      <c r="P556" s="10">
        <v>0</v>
      </c>
      <c r="Q556" s="10">
        <v>0</v>
      </c>
      <c r="R556" s="10">
        <v>0</v>
      </c>
      <c r="S556" s="10">
        <v>0</v>
      </c>
      <c r="T556" s="7">
        <f t="shared" si="306"/>
        <v>1200</v>
      </c>
      <c r="U556" s="8">
        <f t="shared" si="285"/>
        <v>0</v>
      </c>
      <c r="V556" s="8"/>
      <c r="Z556" s="10"/>
      <c r="AA556" s="8"/>
      <c r="AI556" s="8"/>
    </row>
    <row r="557" spans="2:35" ht="9.75" customHeight="1" x14ac:dyDescent="0.25">
      <c r="B557" s="64" t="s">
        <v>1062</v>
      </c>
      <c r="C557" s="64" t="s">
        <v>1063</v>
      </c>
      <c r="D557" s="64" t="s">
        <v>1007</v>
      </c>
      <c r="E557" s="51">
        <f t="shared" si="305"/>
        <v>0</v>
      </c>
      <c r="F557" s="10">
        <f t="shared" si="303"/>
        <v>0</v>
      </c>
      <c r="G557" s="10">
        <f t="shared" si="304"/>
        <v>0</v>
      </c>
      <c r="H557" s="10"/>
      <c r="I557" s="10"/>
      <c r="J557" s="10"/>
      <c r="K557" s="10"/>
      <c r="L557" s="10"/>
      <c r="M557" s="10"/>
      <c r="N557" s="10"/>
      <c r="O557" s="10"/>
      <c r="P557" s="10">
        <v>0</v>
      </c>
      <c r="Q557" s="10">
        <v>0</v>
      </c>
      <c r="R557" s="10">
        <v>0</v>
      </c>
      <c r="S557" s="10">
        <v>0</v>
      </c>
      <c r="T557" s="7">
        <f t="shared" si="306"/>
        <v>0</v>
      </c>
      <c r="U557" s="8">
        <f t="shared" si="285"/>
        <v>0</v>
      </c>
      <c r="V557" s="8"/>
      <c r="Z557" s="10"/>
      <c r="AA557" s="8"/>
      <c r="AI557" s="8"/>
    </row>
    <row r="558" spans="2:35" ht="13.2" x14ac:dyDescent="0.25">
      <c r="B558" s="62" t="s">
        <v>1064</v>
      </c>
      <c r="C558" s="72" t="s">
        <v>1065</v>
      </c>
      <c r="D558" s="72"/>
      <c r="F558" s="10"/>
      <c r="G558" s="63">
        <f>SUM(G559:G560)</f>
        <v>35200</v>
      </c>
      <c r="H558" s="63">
        <f>SUM(H559:H560)</f>
        <v>0</v>
      </c>
      <c r="I558" s="63">
        <f t="shared" ref="I558:S558" si="307">SUM(I559:I560)</f>
        <v>0</v>
      </c>
      <c r="J558" s="63">
        <f t="shared" si="307"/>
        <v>0</v>
      </c>
      <c r="K558" s="63">
        <f t="shared" si="307"/>
        <v>0</v>
      </c>
      <c r="L558" s="63">
        <f t="shared" si="307"/>
        <v>0</v>
      </c>
      <c r="M558" s="63">
        <f t="shared" si="307"/>
        <v>0</v>
      </c>
      <c r="N558" s="63">
        <f t="shared" si="307"/>
        <v>0</v>
      </c>
      <c r="O558" s="63">
        <f t="shared" si="307"/>
        <v>0</v>
      </c>
      <c r="P558" s="63">
        <f t="shared" si="307"/>
        <v>35200</v>
      </c>
      <c r="Q558" s="63">
        <f t="shared" si="307"/>
        <v>0</v>
      </c>
      <c r="R558" s="63">
        <f t="shared" si="307"/>
        <v>0</v>
      </c>
      <c r="S558" s="63">
        <f t="shared" si="307"/>
        <v>0</v>
      </c>
      <c r="T558" s="7">
        <f t="shared" si="306"/>
        <v>35200</v>
      </c>
      <c r="U558" s="8">
        <f t="shared" si="285"/>
        <v>0</v>
      </c>
      <c r="V558" s="8"/>
      <c r="Z558" s="10"/>
      <c r="AA558" s="8"/>
      <c r="AI558" s="8"/>
    </row>
    <row r="559" spans="2:35" ht="9.75" customHeight="1" x14ac:dyDescent="0.25">
      <c r="B559" s="64" t="s">
        <v>1066</v>
      </c>
      <c r="C559" s="64" t="s">
        <v>1067</v>
      </c>
      <c r="D559" s="64" t="s">
        <v>129</v>
      </c>
      <c r="E559" s="51">
        <f t="shared" si="305"/>
        <v>0</v>
      </c>
      <c r="F559" s="10">
        <f>+G559</f>
        <v>0</v>
      </c>
      <c r="G559" s="10">
        <f t="shared" si="304"/>
        <v>0</v>
      </c>
      <c r="H559" s="10">
        <v>0</v>
      </c>
      <c r="I559" s="10">
        <v>0</v>
      </c>
      <c r="J559" s="10">
        <v>0</v>
      </c>
      <c r="K559" s="10">
        <v>0</v>
      </c>
      <c r="L559" s="10">
        <v>0</v>
      </c>
      <c r="M559" s="10">
        <v>0</v>
      </c>
      <c r="N559" s="10"/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7">
        <f t="shared" si="306"/>
        <v>0</v>
      </c>
      <c r="U559" s="8">
        <f t="shared" si="285"/>
        <v>0</v>
      </c>
      <c r="V559" s="8"/>
      <c r="Z559" s="10"/>
      <c r="AA559" s="8"/>
      <c r="AI559" s="8"/>
    </row>
    <row r="560" spans="2:35" ht="9.75" customHeight="1" x14ac:dyDescent="0.25">
      <c r="B560" s="64" t="s">
        <v>1068</v>
      </c>
      <c r="C560" s="64" t="s">
        <v>1069</v>
      </c>
      <c r="D560" s="64" t="s">
        <v>129</v>
      </c>
      <c r="E560" s="51">
        <f t="shared" si="305"/>
        <v>0</v>
      </c>
      <c r="F560" s="10">
        <f t="shared" ref="F560:F565" si="308">+G560</f>
        <v>35200</v>
      </c>
      <c r="G560" s="10">
        <f t="shared" si="304"/>
        <v>35200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35200</v>
      </c>
      <c r="Q560" s="10">
        <v>0</v>
      </c>
      <c r="R560" s="10">
        <v>0</v>
      </c>
      <c r="S560" s="10">
        <v>0</v>
      </c>
      <c r="T560" s="7">
        <f t="shared" si="306"/>
        <v>35200</v>
      </c>
      <c r="U560" s="8">
        <f t="shared" si="285"/>
        <v>0</v>
      </c>
      <c r="V560" s="8"/>
      <c r="Z560" s="10"/>
      <c r="AA560" s="8"/>
      <c r="AI560" s="8"/>
    </row>
    <row r="561" spans="2:35" ht="9.75" customHeight="1" x14ac:dyDescent="0.25">
      <c r="B561" s="62" t="s">
        <v>1070</v>
      </c>
      <c r="C561" s="62" t="s">
        <v>471</v>
      </c>
      <c r="D561" s="62"/>
      <c r="E561" s="51">
        <f t="shared" si="305"/>
        <v>0</v>
      </c>
      <c r="F561" s="10">
        <v>0</v>
      </c>
      <c r="G561" s="63">
        <f>SUM(G562:G563)</f>
        <v>0</v>
      </c>
      <c r="H561" s="63">
        <f t="shared" ref="H561:S561" si="309">SUM(H562:H563)</f>
        <v>0</v>
      </c>
      <c r="I561" s="63">
        <f t="shared" si="309"/>
        <v>0</v>
      </c>
      <c r="J561" s="63">
        <f t="shared" si="309"/>
        <v>0</v>
      </c>
      <c r="K561" s="63">
        <f t="shared" si="309"/>
        <v>0</v>
      </c>
      <c r="L561" s="63">
        <f t="shared" si="309"/>
        <v>0</v>
      </c>
      <c r="M561" s="63">
        <f t="shared" si="309"/>
        <v>0</v>
      </c>
      <c r="N561" s="63">
        <f t="shared" si="309"/>
        <v>0</v>
      </c>
      <c r="O561" s="63">
        <f t="shared" si="309"/>
        <v>0</v>
      </c>
      <c r="P561" s="63">
        <f t="shared" si="309"/>
        <v>0</v>
      </c>
      <c r="Q561" s="63">
        <f t="shared" si="309"/>
        <v>0</v>
      </c>
      <c r="R561" s="63">
        <f t="shared" si="309"/>
        <v>0</v>
      </c>
      <c r="S561" s="63">
        <f t="shared" si="309"/>
        <v>0</v>
      </c>
      <c r="T561" s="7">
        <f t="shared" si="306"/>
        <v>0</v>
      </c>
      <c r="U561" s="8">
        <f t="shared" si="285"/>
        <v>0</v>
      </c>
      <c r="V561" s="8"/>
      <c r="Z561" s="63">
        <f t="shared" ref="Z561" si="310">SUM(Z562:Z563)</f>
        <v>10637.7</v>
      </c>
      <c r="AA561" s="8">
        <f t="shared" ref="AA561:AA599" si="311">+Z561-G561</f>
        <v>10637.7</v>
      </c>
      <c r="AH561" s="61">
        <f t="shared" si="299"/>
        <v>0</v>
      </c>
      <c r="AI561" s="8"/>
    </row>
    <row r="562" spans="2:35" ht="9.75" customHeight="1" x14ac:dyDescent="0.25">
      <c r="B562" s="64" t="s">
        <v>1071</v>
      </c>
      <c r="C562" s="64" t="s">
        <v>1004</v>
      </c>
      <c r="D562" s="64" t="s">
        <v>100</v>
      </c>
      <c r="E562" s="51">
        <f t="shared" si="305"/>
        <v>0</v>
      </c>
      <c r="F562" s="10">
        <f t="shared" si="308"/>
        <v>0</v>
      </c>
      <c r="G562" s="10">
        <f>SUM(H562:S562)</f>
        <v>0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0</v>
      </c>
      <c r="R562" s="10">
        <v>0</v>
      </c>
      <c r="S562" s="10">
        <v>0</v>
      </c>
      <c r="T562" s="7">
        <f t="shared" si="306"/>
        <v>0</v>
      </c>
      <c r="U562" s="8">
        <f t="shared" si="285"/>
        <v>0</v>
      </c>
      <c r="V562" s="8"/>
      <c r="Z562" s="10">
        <v>10637.7</v>
      </c>
      <c r="AA562" s="8">
        <f t="shared" si="311"/>
        <v>10637.7</v>
      </c>
      <c r="AG562" s="10">
        <f>90*1.03</f>
        <v>92.7</v>
      </c>
      <c r="AH562" s="61">
        <f t="shared" si="299"/>
        <v>92.7</v>
      </c>
      <c r="AI562" s="8">
        <f>+G562</f>
        <v>0</v>
      </c>
    </row>
    <row r="563" spans="2:35" ht="9.75" customHeight="1" x14ac:dyDescent="0.25">
      <c r="B563" s="64" t="s">
        <v>1072</v>
      </c>
      <c r="C563" s="64" t="s">
        <v>1073</v>
      </c>
      <c r="D563" s="64" t="s">
        <v>505</v>
      </c>
      <c r="E563" s="51">
        <f t="shared" si="305"/>
        <v>0</v>
      </c>
      <c r="F563" s="10">
        <f t="shared" si="308"/>
        <v>0</v>
      </c>
      <c r="G563" s="10">
        <f>SUM(H563:S563)</f>
        <v>0</v>
      </c>
      <c r="H563" s="10">
        <v>0</v>
      </c>
      <c r="I563" s="10">
        <v>0</v>
      </c>
      <c r="J563" s="10">
        <v>0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0</v>
      </c>
      <c r="R563" s="10">
        <v>0</v>
      </c>
      <c r="S563" s="10">
        <v>0</v>
      </c>
      <c r="T563" s="7">
        <f t="shared" si="306"/>
        <v>0</v>
      </c>
      <c r="U563" s="8">
        <f t="shared" si="285"/>
        <v>0</v>
      </c>
      <c r="V563" s="8"/>
      <c r="Z563" s="10">
        <v>0</v>
      </c>
      <c r="AA563" s="8">
        <f t="shared" si="311"/>
        <v>0</v>
      </c>
      <c r="AG563" s="10">
        <f>1500*1.03</f>
        <v>1545</v>
      </c>
      <c r="AH563" s="61">
        <f t="shared" si="299"/>
        <v>1545</v>
      </c>
      <c r="AI563" s="8">
        <f>+G563</f>
        <v>0</v>
      </c>
    </row>
    <row r="564" spans="2:35" ht="9.75" customHeight="1" x14ac:dyDescent="0.25">
      <c r="B564" s="62" t="s">
        <v>1074</v>
      </c>
      <c r="C564" s="62" t="s">
        <v>1075</v>
      </c>
      <c r="D564" s="62"/>
      <c r="F564" s="10">
        <v>0</v>
      </c>
      <c r="G564" s="63">
        <f>+G565</f>
        <v>0</v>
      </c>
      <c r="H564" s="63">
        <f t="shared" ref="H564:S564" si="312">+H565</f>
        <v>0</v>
      </c>
      <c r="I564" s="63">
        <f t="shared" si="312"/>
        <v>0</v>
      </c>
      <c r="J564" s="63">
        <f t="shared" si="312"/>
        <v>0</v>
      </c>
      <c r="K564" s="63">
        <f t="shared" si="312"/>
        <v>0</v>
      </c>
      <c r="L564" s="63">
        <f t="shared" si="312"/>
        <v>0</v>
      </c>
      <c r="M564" s="63">
        <f t="shared" si="312"/>
        <v>0</v>
      </c>
      <c r="N564" s="63">
        <f t="shared" si="312"/>
        <v>0</v>
      </c>
      <c r="O564" s="63">
        <f t="shared" si="312"/>
        <v>0</v>
      </c>
      <c r="P564" s="63">
        <f t="shared" si="312"/>
        <v>0</v>
      </c>
      <c r="Q564" s="63">
        <f t="shared" si="312"/>
        <v>0</v>
      </c>
      <c r="R564" s="63">
        <f t="shared" si="312"/>
        <v>0</v>
      </c>
      <c r="S564" s="63">
        <f t="shared" si="312"/>
        <v>0</v>
      </c>
      <c r="T564" s="7">
        <f t="shared" si="306"/>
        <v>0</v>
      </c>
      <c r="U564" s="8">
        <f t="shared" si="285"/>
        <v>0</v>
      </c>
      <c r="V564" s="8"/>
      <c r="Z564" s="63"/>
      <c r="AA564" s="8"/>
      <c r="AH564" s="61">
        <f t="shared" si="299"/>
        <v>0</v>
      </c>
      <c r="AI564" s="8"/>
    </row>
    <row r="565" spans="2:35" ht="9.75" customHeight="1" x14ac:dyDescent="0.25">
      <c r="B565" s="64" t="s">
        <v>1076</v>
      </c>
      <c r="C565" s="64" t="s">
        <v>1077</v>
      </c>
      <c r="D565" s="64" t="s">
        <v>1078</v>
      </c>
      <c r="E565" s="51">
        <f t="shared" ref="E565:E578" si="313">+F565-G565</f>
        <v>0</v>
      </c>
      <c r="F565" s="10">
        <f t="shared" si="308"/>
        <v>0</v>
      </c>
      <c r="G565" s="10">
        <f>SUM(H565:S565)</f>
        <v>0</v>
      </c>
      <c r="H565" s="10">
        <v>0</v>
      </c>
      <c r="I565" s="10">
        <v>0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0</v>
      </c>
      <c r="R565" s="10">
        <v>0</v>
      </c>
      <c r="S565" s="10">
        <v>0</v>
      </c>
      <c r="T565" s="7">
        <f t="shared" si="306"/>
        <v>0</v>
      </c>
      <c r="U565" s="8">
        <f t="shared" si="285"/>
        <v>0</v>
      </c>
      <c r="V565" s="8"/>
      <c r="Z565" s="10"/>
      <c r="AA565" s="8"/>
      <c r="AG565" s="10">
        <f>222000*1.03</f>
        <v>228660</v>
      </c>
      <c r="AH565" s="61">
        <f t="shared" si="299"/>
        <v>228660</v>
      </c>
      <c r="AI565" s="8">
        <f>+G565</f>
        <v>0</v>
      </c>
    </row>
    <row r="566" spans="2:35" ht="17.25" customHeight="1" x14ac:dyDescent="0.25">
      <c r="B566" s="62" t="s">
        <v>1079</v>
      </c>
      <c r="C566" s="72" t="s">
        <v>1080</v>
      </c>
      <c r="D566" s="72"/>
      <c r="F566" s="10">
        <v>0</v>
      </c>
      <c r="G566" s="63">
        <f>+G567</f>
        <v>0</v>
      </c>
      <c r="H566" s="63">
        <f t="shared" ref="H566:S566" si="314">+H567</f>
        <v>0</v>
      </c>
      <c r="I566" s="63">
        <f t="shared" si="314"/>
        <v>0</v>
      </c>
      <c r="J566" s="63">
        <f t="shared" si="314"/>
        <v>0</v>
      </c>
      <c r="K566" s="63">
        <f t="shared" si="314"/>
        <v>0</v>
      </c>
      <c r="L566" s="63">
        <f t="shared" si="314"/>
        <v>0</v>
      </c>
      <c r="M566" s="63">
        <f t="shared" si="314"/>
        <v>0</v>
      </c>
      <c r="N566" s="63">
        <f t="shared" si="314"/>
        <v>0</v>
      </c>
      <c r="O566" s="63">
        <f t="shared" si="314"/>
        <v>0</v>
      </c>
      <c r="P566" s="63">
        <f t="shared" si="314"/>
        <v>0</v>
      </c>
      <c r="Q566" s="63">
        <f t="shared" si="314"/>
        <v>0</v>
      </c>
      <c r="R566" s="63">
        <f t="shared" si="314"/>
        <v>0</v>
      </c>
      <c r="S566" s="63">
        <f t="shared" si="314"/>
        <v>0</v>
      </c>
      <c r="T566" s="7">
        <f t="shared" si="306"/>
        <v>0</v>
      </c>
      <c r="U566" s="8">
        <f t="shared" si="285"/>
        <v>0</v>
      </c>
      <c r="V566" s="8"/>
      <c r="Z566" s="63"/>
      <c r="AA566" s="8"/>
      <c r="AH566" s="61">
        <f t="shared" si="299"/>
        <v>0</v>
      </c>
      <c r="AI566" s="8"/>
    </row>
    <row r="567" spans="2:35" ht="9.75" customHeight="1" x14ac:dyDescent="0.25">
      <c r="B567" s="64" t="s">
        <v>1081</v>
      </c>
      <c r="C567" s="64" t="s">
        <v>1082</v>
      </c>
      <c r="D567" s="64" t="s">
        <v>1078</v>
      </c>
      <c r="E567" s="51">
        <f t="shared" si="313"/>
        <v>0</v>
      </c>
      <c r="F567" s="10">
        <f t="shared" si="283"/>
        <v>0</v>
      </c>
      <c r="G567" s="10">
        <f>SUM(H567:S567)</f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7">
        <f t="shared" si="306"/>
        <v>0</v>
      </c>
      <c r="U567" s="8">
        <f t="shared" si="285"/>
        <v>0</v>
      </c>
      <c r="V567" s="8"/>
      <c r="Z567" s="10"/>
      <c r="AA567" s="8"/>
      <c r="AG567" s="10">
        <f>2500*1.03</f>
        <v>2575</v>
      </c>
      <c r="AH567" s="61">
        <f t="shared" si="299"/>
        <v>2575</v>
      </c>
      <c r="AI567" s="8">
        <f>+G567</f>
        <v>0</v>
      </c>
    </row>
    <row r="568" spans="2:35" ht="9.75" customHeight="1" x14ac:dyDescent="0.25">
      <c r="B568" s="62" t="s">
        <v>1083</v>
      </c>
      <c r="C568" s="72" t="s">
        <v>1084</v>
      </c>
      <c r="D568" s="62"/>
      <c r="E568" s="51">
        <f t="shared" si="313"/>
        <v>0</v>
      </c>
      <c r="F568" s="10"/>
      <c r="G568" s="63">
        <f>SUM(G569:G574)</f>
        <v>0</v>
      </c>
      <c r="H568" s="63">
        <f t="shared" ref="H568:S568" si="315">SUM(H569:H574)</f>
        <v>0</v>
      </c>
      <c r="I568" s="63">
        <f t="shared" si="315"/>
        <v>0</v>
      </c>
      <c r="J568" s="63">
        <f t="shared" si="315"/>
        <v>0</v>
      </c>
      <c r="K568" s="63">
        <f t="shared" si="315"/>
        <v>0</v>
      </c>
      <c r="L568" s="63">
        <f t="shared" si="315"/>
        <v>0</v>
      </c>
      <c r="M568" s="63">
        <f t="shared" si="315"/>
        <v>0</v>
      </c>
      <c r="N568" s="63">
        <f t="shared" si="315"/>
        <v>0</v>
      </c>
      <c r="O568" s="63">
        <f t="shared" si="315"/>
        <v>0</v>
      </c>
      <c r="P568" s="63">
        <f t="shared" si="315"/>
        <v>0</v>
      </c>
      <c r="Q568" s="63">
        <f t="shared" si="315"/>
        <v>0</v>
      </c>
      <c r="R568" s="63">
        <f t="shared" si="315"/>
        <v>0</v>
      </c>
      <c r="S568" s="63">
        <f t="shared" si="315"/>
        <v>0</v>
      </c>
      <c r="T568" s="7">
        <f t="shared" si="306"/>
        <v>0</v>
      </c>
      <c r="U568" s="8">
        <f t="shared" si="285"/>
        <v>0</v>
      </c>
      <c r="V568" s="8"/>
      <c r="Z568" s="10"/>
      <c r="AA568" s="8"/>
      <c r="AI568" s="8"/>
    </row>
    <row r="569" spans="2:35" ht="9.75" customHeight="1" x14ac:dyDescent="0.25">
      <c r="B569" s="64" t="s">
        <v>1085</v>
      </c>
      <c r="C569" s="64" t="s">
        <v>126</v>
      </c>
      <c r="D569" s="64" t="s">
        <v>58</v>
      </c>
      <c r="E569" s="51">
        <f t="shared" si="313"/>
        <v>0</v>
      </c>
      <c r="F569" s="10">
        <f t="shared" si="283"/>
        <v>0</v>
      </c>
      <c r="G569" s="10">
        <f t="shared" ref="G569:G574" si="316">SUM(H569:S569)</f>
        <v>0</v>
      </c>
      <c r="H569" s="10">
        <v>0</v>
      </c>
      <c r="I569" s="10">
        <v>0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0</v>
      </c>
      <c r="R569" s="10">
        <v>0</v>
      </c>
      <c r="S569" s="10">
        <v>0</v>
      </c>
      <c r="T569" s="7">
        <f t="shared" si="306"/>
        <v>0</v>
      </c>
      <c r="U569" s="8">
        <f t="shared" si="285"/>
        <v>0</v>
      </c>
      <c r="V569" s="8"/>
      <c r="Z569" s="10"/>
      <c r="AA569" s="8"/>
      <c r="AI569" s="8"/>
    </row>
    <row r="570" spans="2:35" ht="9.75" customHeight="1" x14ac:dyDescent="0.25">
      <c r="B570" s="64" t="s">
        <v>1086</v>
      </c>
      <c r="C570" s="64" t="s">
        <v>128</v>
      </c>
      <c r="D570" s="64" t="s">
        <v>129</v>
      </c>
      <c r="E570" s="51">
        <f t="shared" si="313"/>
        <v>0</v>
      </c>
      <c r="F570" s="10">
        <f t="shared" si="283"/>
        <v>0</v>
      </c>
      <c r="G570" s="10">
        <f t="shared" si="316"/>
        <v>0</v>
      </c>
      <c r="H570" s="10">
        <v>0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0</v>
      </c>
      <c r="R570" s="10">
        <v>0</v>
      </c>
      <c r="S570" s="10">
        <v>0</v>
      </c>
      <c r="T570" s="7">
        <f t="shared" si="306"/>
        <v>0</v>
      </c>
      <c r="U570" s="8">
        <f t="shared" si="285"/>
        <v>0</v>
      </c>
      <c r="V570" s="8"/>
      <c r="Z570" s="10"/>
      <c r="AA570" s="8"/>
      <c r="AI570" s="8"/>
    </row>
    <row r="571" spans="2:35" ht="9.75" customHeight="1" x14ac:dyDescent="0.25">
      <c r="B571" s="64" t="s">
        <v>1087</v>
      </c>
      <c r="C571" s="64" t="s">
        <v>131</v>
      </c>
      <c r="D571" s="64" t="s">
        <v>132</v>
      </c>
      <c r="E571" s="51">
        <f t="shared" si="313"/>
        <v>0</v>
      </c>
      <c r="F571" s="10">
        <f t="shared" si="283"/>
        <v>0</v>
      </c>
      <c r="G571" s="10">
        <f t="shared" si="316"/>
        <v>0</v>
      </c>
      <c r="H571" s="10">
        <v>0</v>
      </c>
      <c r="I571" s="10">
        <v>0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0</v>
      </c>
      <c r="R571" s="10">
        <v>0</v>
      </c>
      <c r="S571" s="10">
        <v>0</v>
      </c>
      <c r="T571" s="7">
        <f t="shared" si="306"/>
        <v>0</v>
      </c>
      <c r="U571" s="8">
        <f t="shared" si="285"/>
        <v>0</v>
      </c>
      <c r="V571" s="8"/>
      <c r="Z571" s="10"/>
      <c r="AA571" s="8"/>
      <c r="AI571" s="8"/>
    </row>
    <row r="572" spans="2:35" ht="9.75" customHeight="1" x14ac:dyDescent="0.25">
      <c r="B572" s="64" t="s">
        <v>1088</v>
      </c>
      <c r="C572" s="64" t="s">
        <v>134</v>
      </c>
      <c r="D572" s="64" t="s">
        <v>30</v>
      </c>
      <c r="E572" s="51">
        <f t="shared" si="313"/>
        <v>0</v>
      </c>
      <c r="F572" s="10">
        <f t="shared" si="283"/>
        <v>0</v>
      </c>
      <c r="G572" s="10">
        <f t="shared" si="316"/>
        <v>0</v>
      </c>
      <c r="H572" s="10">
        <v>0</v>
      </c>
      <c r="I572" s="10">
        <v>0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0</v>
      </c>
      <c r="R572" s="10">
        <v>0</v>
      </c>
      <c r="S572" s="10">
        <v>0</v>
      </c>
      <c r="T572" s="7">
        <f t="shared" si="306"/>
        <v>0</v>
      </c>
      <c r="U572" s="8">
        <f t="shared" si="285"/>
        <v>0</v>
      </c>
      <c r="V572" s="8"/>
      <c r="Z572" s="10"/>
      <c r="AA572" s="8"/>
      <c r="AI572" s="8"/>
    </row>
    <row r="573" spans="2:35" ht="9.75" customHeight="1" x14ac:dyDescent="0.25">
      <c r="B573" s="64" t="s">
        <v>1089</v>
      </c>
      <c r="C573" s="64" t="s">
        <v>136</v>
      </c>
      <c r="D573" s="64" t="s">
        <v>132</v>
      </c>
      <c r="E573" s="51">
        <f t="shared" si="313"/>
        <v>0</v>
      </c>
      <c r="F573" s="10">
        <f t="shared" si="283"/>
        <v>0</v>
      </c>
      <c r="G573" s="10">
        <f t="shared" si="316"/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7">
        <f t="shared" si="306"/>
        <v>0</v>
      </c>
      <c r="U573" s="8">
        <f t="shared" si="285"/>
        <v>0</v>
      </c>
      <c r="V573" s="8"/>
      <c r="Z573" s="10"/>
      <c r="AA573" s="8"/>
      <c r="AI573" s="8"/>
    </row>
    <row r="574" spans="2:35" ht="9.75" customHeight="1" x14ac:dyDescent="0.25">
      <c r="B574" s="64" t="s">
        <v>1090</v>
      </c>
      <c r="C574" s="64" t="s">
        <v>138</v>
      </c>
      <c r="D574" s="64" t="s">
        <v>100</v>
      </c>
      <c r="E574" s="51">
        <f t="shared" si="313"/>
        <v>0</v>
      </c>
      <c r="F574" s="10">
        <f t="shared" si="283"/>
        <v>0</v>
      </c>
      <c r="G574" s="10">
        <f t="shared" si="316"/>
        <v>0</v>
      </c>
      <c r="H574" s="10">
        <v>0</v>
      </c>
      <c r="I574" s="10">
        <v>0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7">
        <f t="shared" si="306"/>
        <v>0</v>
      </c>
      <c r="U574" s="8">
        <f t="shared" ref="U574:U635" si="317">+T574-G574</f>
        <v>0</v>
      </c>
      <c r="V574" s="8"/>
      <c r="Z574" s="10"/>
      <c r="AA574" s="8"/>
      <c r="AI574" s="8"/>
    </row>
    <row r="575" spans="2:35" ht="9.75" customHeight="1" x14ac:dyDescent="0.25">
      <c r="B575" s="62" t="s">
        <v>1091</v>
      </c>
      <c r="C575" s="62" t="s">
        <v>1092</v>
      </c>
      <c r="D575" s="62"/>
      <c r="E575" s="51">
        <f t="shared" ref="E575" si="318">SUM(H575:S575)-G575</f>
        <v>0</v>
      </c>
      <c r="F575" s="10"/>
      <c r="G575" s="63">
        <f t="shared" ref="G575:S577" si="319">+G576</f>
        <v>0</v>
      </c>
      <c r="H575" s="63">
        <f t="shared" si="319"/>
        <v>0</v>
      </c>
      <c r="I575" s="63">
        <f t="shared" si="319"/>
        <v>0</v>
      </c>
      <c r="J575" s="63">
        <f t="shared" si="319"/>
        <v>0</v>
      </c>
      <c r="K575" s="63">
        <f t="shared" si="319"/>
        <v>0</v>
      </c>
      <c r="L575" s="63">
        <f t="shared" si="319"/>
        <v>0</v>
      </c>
      <c r="M575" s="63">
        <f t="shared" si="319"/>
        <v>0</v>
      </c>
      <c r="N575" s="63">
        <f t="shared" si="319"/>
        <v>0</v>
      </c>
      <c r="O575" s="63">
        <f t="shared" si="319"/>
        <v>0</v>
      </c>
      <c r="P575" s="63">
        <f t="shared" si="319"/>
        <v>0</v>
      </c>
      <c r="Q575" s="63">
        <f t="shared" si="319"/>
        <v>0</v>
      </c>
      <c r="R575" s="63">
        <f t="shared" si="319"/>
        <v>0</v>
      </c>
      <c r="S575" s="63">
        <f t="shared" si="319"/>
        <v>0</v>
      </c>
      <c r="T575" s="7">
        <f t="shared" si="306"/>
        <v>0</v>
      </c>
      <c r="U575" s="8">
        <f t="shared" si="317"/>
        <v>0</v>
      </c>
      <c r="V575" s="8"/>
      <c r="Z575" s="63">
        <f t="shared" ref="Z575:AR577" si="320">+Z576</f>
        <v>0</v>
      </c>
      <c r="AA575" s="8">
        <f t="shared" si="311"/>
        <v>0</v>
      </c>
      <c r="AH575" s="61">
        <f t="shared" si="299"/>
        <v>0</v>
      </c>
      <c r="AI575" s="8"/>
    </row>
    <row r="576" spans="2:35" ht="23.25" customHeight="1" x14ac:dyDescent="0.25">
      <c r="B576" s="62" t="s">
        <v>1093</v>
      </c>
      <c r="C576" s="71" t="s">
        <v>1094</v>
      </c>
      <c r="D576" s="71"/>
      <c r="E576" s="51">
        <f t="shared" si="313"/>
        <v>0</v>
      </c>
      <c r="F576" s="10"/>
      <c r="G576" s="63">
        <f t="shared" si="319"/>
        <v>0</v>
      </c>
      <c r="H576" s="63">
        <f t="shared" si="319"/>
        <v>0</v>
      </c>
      <c r="I576" s="63">
        <f t="shared" si="319"/>
        <v>0</v>
      </c>
      <c r="J576" s="63">
        <f t="shared" si="319"/>
        <v>0</v>
      </c>
      <c r="K576" s="63">
        <f t="shared" si="319"/>
        <v>0</v>
      </c>
      <c r="L576" s="63">
        <f t="shared" si="319"/>
        <v>0</v>
      </c>
      <c r="M576" s="63">
        <f t="shared" si="319"/>
        <v>0</v>
      </c>
      <c r="N576" s="63">
        <f t="shared" si="319"/>
        <v>0</v>
      </c>
      <c r="O576" s="63">
        <f t="shared" si="319"/>
        <v>0</v>
      </c>
      <c r="P576" s="63">
        <f t="shared" si="319"/>
        <v>0</v>
      </c>
      <c r="Q576" s="63">
        <f t="shared" si="319"/>
        <v>0</v>
      </c>
      <c r="R576" s="63">
        <f t="shared" si="319"/>
        <v>0</v>
      </c>
      <c r="S576" s="63">
        <f t="shared" si="319"/>
        <v>0</v>
      </c>
      <c r="T576" s="7">
        <f t="shared" si="306"/>
        <v>0</v>
      </c>
      <c r="U576" s="8">
        <f t="shared" si="317"/>
        <v>0</v>
      </c>
      <c r="V576" s="8"/>
      <c r="Z576" s="63">
        <f t="shared" si="320"/>
        <v>0</v>
      </c>
      <c r="AA576" s="8">
        <f t="shared" si="311"/>
        <v>0</v>
      </c>
      <c r="AH576" s="61">
        <f t="shared" si="299"/>
        <v>0</v>
      </c>
      <c r="AI576" s="8"/>
    </row>
    <row r="577" spans="2:35" ht="9.75" customHeight="1" x14ac:dyDescent="0.25">
      <c r="B577" s="62" t="s">
        <v>1095</v>
      </c>
      <c r="C577" s="62" t="s">
        <v>1096</v>
      </c>
      <c r="D577" s="62"/>
      <c r="E577" s="51">
        <f t="shared" si="313"/>
        <v>0</v>
      </c>
      <c r="F577" s="10"/>
      <c r="G577" s="63">
        <f t="shared" si="319"/>
        <v>0</v>
      </c>
      <c r="H577" s="63">
        <f t="shared" si="319"/>
        <v>0</v>
      </c>
      <c r="I577" s="63">
        <f t="shared" si="319"/>
        <v>0</v>
      </c>
      <c r="J577" s="63">
        <f t="shared" si="319"/>
        <v>0</v>
      </c>
      <c r="K577" s="63">
        <f t="shared" si="319"/>
        <v>0</v>
      </c>
      <c r="L577" s="63">
        <f t="shared" si="319"/>
        <v>0</v>
      </c>
      <c r="M577" s="63">
        <f t="shared" si="319"/>
        <v>0</v>
      </c>
      <c r="N577" s="63">
        <f t="shared" si="319"/>
        <v>0</v>
      </c>
      <c r="O577" s="63">
        <f t="shared" si="319"/>
        <v>0</v>
      </c>
      <c r="P577" s="63">
        <f t="shared" si="319"/>
        <v>0</v>
      </c>
      <c r="Q577" s="63">
        <f t="shared" si="319"/>
        <v>0</v>
      </c>
      <c r="R577" s="63">
        <f t="shared" si="319"/>
        <v>0</v>
      </c>
      <c r="S577" s="63">
        <f t="shared" si="319"/>
        <v>0</v>
      </c>
      <c r="T577" s="7">
        <f t="shared" si="306"/>
        <v>0</v>
      </c>
      <c r="U577" s="8">
        <f t="shared" si="317"/>
        <v>0</v>
      </c>
      <c r="V577" s="8"/>
      <c r="Z577" s="63">
        <f t="shared" si="320"/>
        <v>0</v>
      </c>
      <c r="AA577" s="8">
        <f t="shared" si="311"/>
        <v>0</v>
      </c>
      <c r="AH577" s="61">
        <f t="shared" si="299"/>
        <v>0</v>
      </c>
      <c r="AI577" s="8"/>
    </row>
    <row r="578" spans="2:35" ht="9.75" customHeight="1" x14ac:dyDescent="0.25">
      <c r="B578" s="64" t="s">
        <v>1097</v>
      </c>
      <c r="C578" s="64" t="s">
        <v>471</v>
      </c>
      <c r="D578" s="64" t="s">
        <v>100</v>
      </c>
      <c r="E578" s="51">
        <f t="shared" si="313"/>
        <v>0</v>
      </c>
      <c r="F578" s="10">
        <f t="shared" si="283"/>
        <v>0</v>
      </c>
      <c r="G578" s="10">
        <f>SUM(H578:S578)</f>
        <v>0</v>
      </c>
      <c r="H578" s="10">
        <v>0</v>
      </c>
      <c r="I578" s="10">
        <v>0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7">
        <f t="shared" si="306"/>
        <v>0</v>
      </c>
      <c r="U578" s="8">
        <f t="shared" si="317"/>
        <v>0</v>
      </c>
      <c r="V578" s="8"/>
      <c r="Z578" s="10">
        <v>0</v>
      </c>
      <c r="AA578" s="8">
        <f t="shared" si="311"/>
        <v>0</v>
      </c>
      <c r="AH578" s="61">
        <f t="shared" si="299"/>
        <v>0</v>
      </c>
      <c r="AI578" s="8">
        <f>+G578</f>
        <v>0</v>
      </c>
    </row>
    <row r="579" spans="2:35" ht="9.75" customHeight="1" x14ac:dyDescent="0.25">
      <c r="B579" s="62" t="s">
        <v>1098</v>
      </c>
      <c r="C579" s="62" t="s">
        <v>1099</v>
      </c>
      <c r="D579" s="62"/>
      <c r="E579" s="51">
        <f t="shared" ref="E579" si="321">SUM(H579:S579)-G579</f>
        <v>0</v>
      </c>
      <c r="F579" s="10"/>
      <c r="G579" s="63">
        <f t="shared" ref="G579:S579" si="322">+G580+G602+G608</f>
        <v>116872435.82000001</v>
      </c>
      <c r="H579" s="63">
        <f t="shared" si="322"/>
        <v>9690359.6099999994</v>
      </c>
      <c r="I579" s="63">
        <f t="shared" si="322"/>
        <v>9746374.9199999999</v>
      </c>
      <c r="J579" s="63">
        <f t="shared" si="322"/>
        <v>12200029.459999999</v>
      </c>
      <c r="K579" s="63">
        <f t="shared" si="322"/>
        <v>10118206.370000001</v>
      </c>
      <c r="L579" s="63">
        <f t="shared" si="322"/>
        <v>12754669.059999999</v>
      </c>
      <c r="M579" s="63">
        <f t="shared" si="322"/>
        <v>11165836.310000001</v>
      </c>
      <c r="N579" s="63">
        <f t="shared" si="322"/>
        <v>10359207.77</v>
      </c>
      <c r="O579" s="63">
        <f t="shared" si="322"/>
        <v>10607928.039999999</v>
      </c>
      <c r="P579" s="63">
        <f t="shared" si="322"/>
        <v>10323855.530000001</v>
      </c>
      <c r="Q579" s="63">
        <f t="shared" si="322"/>
        <v>7991200.3300000001</v>
      </c>
      <c r="R579" s="63">
        <f t="shared" si="322"/>
        <v>5723353.8300000001</v>
      </c>
      <c r="S579" s="63">
        <f t="shared" si="322"/>
        <v>6191414.5899999999</v>
      </c>
      <c r="T579" s="7">
        <f t="shared" si="306"/>
        <v>116872435.81999999</v>
      </c>
      <c r="U579" s="8">
        <f t="shared" si="317"/>
        <v>0</v>
      </c>
      <c r="V579" s="8"/>
      <c r="W579" s="63"/>
      <c r="X579" s="63"/>
      <c r="Y579" s="63"/>
      <c r="Z579" s="63"/>
      <c r="AA579" s="8"/>
      <c r="AB579" s="63"/>
      <c r="AC579" s="63"/>
      <c r="AD579" s="63"/>
      <c r="AE579" s="63"/>
      <c r="AF579" s="63"/>
      <c r="AH579" s="61">
        <f t="shared" si="299"/>
        <v>-116872435.82000001</v>
      </c>
      <c r="AI579" s="8"/>
    </row>
    <row r="580" spans="2:35" ht="9.75" customHeight="1" x14ac:dyDescent="0.25">
      <c r="B580" s="62" t="s">
        <v>1100</v>
      </c>
      <c r="C580" s="62" t="s">
        <v>1101</v>
      </c>
      <c r="D580" s="62"/>
      <c r="F580" s="10"/>
      <c r="G580" s="63">
        <f>+G581</f>
        <v>81824697.24000001</v>
      </c>
      <c r="H580" s="63">
        <f t="shared" ref="H580:S580" si="323">+H581</f>
        <v>6402634.2599999998</v>
      </c>
      <c r="I580" s="63">
        <f t="shared" si="323"/>
        <v>6463703.8700000001</v>
      </c>
      <c r="J580" s="63">
        <f t="shared" si="323"/>
        <v>8917357.879999999</v>
      </c>
      <c r="K580" s="63">
        <f t="shared" si="323"/>
        <v>6819828.5900000008</v>
      </c>
      <c r="L580" s="63">
        <f t="shared" si="323"/>
        <v>9443791.4299999997</v>
      </c>
      <c r="M580" s="63">
        <f t="shared" si="323"/>
        <v>7846927.540000001</v>
      </c>
      <c r="N580" s="63">
        <f t="shared" si="323"/>
        <v>7066536.7199999997</v>
      </c>
      <c r="O580" s="63">
        <f t="shared" si="323"/>
        <v>7315256.9899999993</v>
      </c>
      <c r="P580" s="63">
        <f t="shared" si="323"/>
        <v>7031184.4800000004</v>
      </c>
      <c r="Q580" s="63">
        <f t="shared" si="323"/>
        <v>4698529.28</v>
      </c>
      <c r="R580" s="63">
        <f t="shared" si="323"/>
        <v>4675442.72</v>
      </c>
      <c r="S580" s="63">
        <f t="shared" si="323"/>
        <v>5143503.4799999995</v>
      </c>
      <c r="T580" s="7">
        <f t="shared" si="306"/>
        <v>81824697.24000001</v>
      </c>
      <c r="U580" s="8">
        <f t="shared" si="317"/>
        <v>0</v>
      </c>
      <c r="V580" s="8"/>
      <c r="W580" s="63"/>
      <c r="X580" s="63"/>
      <c r="Y580" s="63"/>
      <c r="Z580" s="63"/>
      <c r="AA580" s="8"/>
      <c r="AB580" s="63"/>
      <c r="AC580" s="63"/>
      <c r="AD580" s="63"/>
      <c r="AE580" s="63"/>
      <c r="AF580" s="63"/>
      <c r="AH580" s="61">
        <f t="shared" si="299"/>
        <v>-81824697.24000001</v>
      </c>
      <c r="AI580" s="8"/>
    </row>
    <row r="581" spans="2:35" ht="9.75" customHeight="1" x14ac:dyDescent="0.25">
      <c r="B581" s="62" t="s">
        <v>1102</v>
      </c>
      <c r="C581" s="62" t="s">
        <v>1103</v>
      </c>
      <c r="D581" s="62"/>
      <c r="F581" s="10"/>
      <c r="G581" s="63">
        <f>+G582+G586+G587+G588+G590+G591+G593+G594+G595+G596+G597+G598+G599+G600+G601+G592+G589</f>
        <v>81824697.24000001</v>
      </c>
      <c r="H581" s="63">
        <f t="shared" ref="H581:S581" si="324">+H582+H586+H587+H588+H590+H591+H593+H594+H595+H596+H597+H598+H599+H600+H601+H592+H589</f>
        <v>6402634.2599999998</v>
      </c>
      <c r="I581" s="63">
        <f t="shared" si="324"/>
        <v>6463703.8700000001</v>
      </c>
      <c r="J581" s="63">
        <f t="shared" si="324"/>
        <v>8917357.879999999</v>
      </c>
      <c r="K581" s="63">
        <f t="shared" si="324"/>
        <v>6819828.5900000008</v>
      </c>
      <c r="L581" s="63">
        <f t="shared" si="324"/>
        <v>9443791.4299999997</v>
      </c>
      <c r="M581" s="63">
        <f t="shared" si="324"/>
        <v>7846927.540000001</v>
      </c>
      <c r="N581" s="63">
        <f t="shared" si="324"/>
        <v>7066536.7199999997</v>
      </c>
      <c r="O581" s="63">
        <f t="shared" si="324"/>
        <v>7315256.9899999993</v>
      </c>
      <c r="P581" s="63">
        <f t="shared" si="324"/>
        <v>7031184.4800000004</v>
      </c>
      <c r="Q581" s="63">
        <f t="shared" si="324"/>
        <v>4698529.28</v>
      </c>
      <c r="R581" s="63">
        <f t="shared" si="324"/>
        <v>4675442.72</v>
      </c>
      <c r="S581" s="63">
        <f t="shared" si="324"/>
        <v>5143503.4799999995</v>
      </c>
      <c r="T581" s="7">
        <f t="shared" si="306"/>
        <v>81824697.24000001</v>
      </c>
      <c r="U581" s="8">
        <f t="shared" si="317"/>
        <v>0</v>
      </c>
      <c r="V581" s="8"/>
      <c r="W581" s="63"/>
      <c r="X581" s="63"/>
      <c r="Y581" s="63"/>
      <c r="Z581" s="63"/>
      <c r="AA581" s="8"/>
      <c r="AB581" s="63"/>
      <c r="AC581" s="63"/>
      <c r="AD581" s="63"/>
      <c r="AE581" s="63"/>
      <c r="AF581" s="63"/>
      <c r="AH581" s="61">
        <f t="shared" si="299"/>
        <v>-81824697.24000001</v>
      </c>
      <c r="AI581" s="8"/>
    </row>
    <row r="582" spans="2:35" ht="9.75" customHeight="1" x14ac:dyDescent="0.25">
      <c r="B582" s="62" t="s">
        <v>1104</v>
      </c>
      <c r="C582" s="62" t="s">
        <v>1105</v>
      </c>
      <c r="D582" s="62"/>
      <c r="F582" s="10"/>
      <c r="G582" s="63">
        <f t="shared" ref="G582:S582" si="325">SUM(G583:G585)</f>
        <v>787262.69</v>
      </c>
      <c r="H582" s="63">
        <f t="shared" si="325"/>
        <v>102251.79000000001</v>
      </c>
      <c r="I582" s="63">
        <f t="shared" si="325"/>
        <v>54253.14</v>
      </c>
      <c r="J582" s="63">
        <f t="shared" si="325"/>
        <v>111505.13</v>
      </c>
      <c r="K582" s="63">
        <f t="shared" si="325"/>
        <v>50792.480000000003</v>
      </c>
      <c r="L582" s="63">
        <f t="shared" si="325"/>
        <v>51725.03</v>
      </c>
      <c r="M582" s="63">
        <f t="shared" si="325"/>
        <v>46928.35</v>
      </c>
      <c r="N582" s="63">
        <f t="shared" si="325"/>
        <v>19526.66</v>
      </c>
      <c r="O582" s="63">
        <f t="shared" si="325"/>
        <v>60149.54</v>
      </c>
      <c r="P582" s="63">
        <f t="shared" si="325"/>
        <v>71730.650000000009</v>
      </c>
      <c r="Q582" s="63">
        <f t="shared" si="325"/>
        <v>72420.78</v>
      </c>
      <c r="R582" s="63">
        <f t="shared" si="325"/>
        <v>71064.92</v>
      </c>
      <c r="S582" s="63">
        <f t="shared" si="325"/>
        <v>74914.22</v>
      </c>
      <c r="T582" s="7">
        <f t="shared" si="306"/>
        <v>787262.69</v>
      </c>
      <c r="U582" s="8">
        <f t="shared" si="317"/>
        <v>0</v>
      </c>
      <c r="V582" s="8"/>
      <c r="W582" s="63"/>
      <c r="X582" s="63"/>
      <c r="Y582" s="63"/>
      <c r="Z582" s="63"/>
      <c r="AA582" s="8"/>
      <c r="AB582" s="63"/>
      <c r="AC582" s="63"/>
      <c r="AD582" s="63"/>
      <c r="AE582" s="63"/>
      <c r="AF582" s="63"/>
      <c r="AH582" s="61">
        <f t="shared" si="299"/>
        <v>-787262.69</v>
      </c>
      <c r="AI582" s="8"/>
    </row>
    <row r="583" spans="2:35" ht="9.75" customHeight="1" x14ac:dyDescent="0.25">
      <c r="B583" s="64" t="s">
        <v>1106</v>
      </c>
      <c r="C583" s="64" t="s">
        <v>1107</v>
      </c>
      <c r="D583" s="64" t="s">
        <v>100</v>
      </c>
      <c r="E583" s="51">
        <f t="shared" ref="E583:E614" si="326">+F583-G583</f>
        <v>0</v>
      </c>
      <c r="F583" s="10">
        <f t="shared" si="283"/>
        <v>0</v>
      </c>
      <c r="G583" s="10">
        <f t="shared" ref="G583:G600" si="327">SUM(H583:S583)</f>
        <v>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10">
        <v>0</v>
      </c>
      <c r="S583" s="10">
        <v>0</v>
      </c>
      <c r="T583" s="7">
        <f t="shared" si="306"/>
        <v>0</v>
      </c>
      <c r="U583" s="8">
        <f t="shared" si="317"/>
        <v>0</v>
      </c>
      <c r="V583" s="8"/>
      <c r="Z583" s="10">
        <v>1862480.46</v>
      </c>
      <c r="AA583" s="8">
        <f t="shared" si="311"/>
        <v>1862480.46</v>
      </c>
      <c r="AG583" s="10">
        <f>+G583*1.03</f>
        <v>0</v>
      </c>
      <c r="AH583" s="61">
        <f t="shared" si="299"/>
        <v>0</v>
      </c>
      <c r="AI583" s="8">
        <f t="shared" ref="AI583:AI599" si="328">+G583</f>
        <v>0</v>
      </c>
    </row>
    <row r="584" spans="2:35" ht="9.75" customHeight="1" x14ac:dyDescent="0.25">
      <c r="B584" s="64" t="s">
        <v>1108</v>
      </c>
      <c r="C584" s="64" t="s">
        <v>1109</v>
      </c>
      <c r="D584" s="64" t="s">
        <v>100</v>
      </c>
      <c r="E584" s="51">
        <f t="shared" si="326"/>
        <v>0</v>
      </c>
      <c r="F584" s="10">
        <f t="shared" si="283"/>
        <v>142692.78</v>
      </c>
      <c r="G584" s="10">
        <f>SUM(H584:S584)</f>
        <v>142692.78</v>
      </c>
      <c r="H584" s="10">
        <v>51495.37</v>
      </c>
      <c r="I584" s="10">
        <v>0</v>
      </c>
      <c r="J584" s="10">
        <v>0</v>
      </c>
      <c r="K584" s="10">
        <v>0</v>
      </c>
      <c r="L584" s="10">
        <v>0</v>
      </c>
      <c r="M584" s="10">
        <v>0</v>
      </c>
      <c r="N584" s="10"/>
      <c r="O584" s="10"/>
      <c r="P584" s="10">
        <v>19403.990000000002</v>
      </c>
      <c r="Q584" s="10">
        <v>23931.14</v>
      </c>
      <c r="R584" s="10">
        <v>23931.14</v>
      </c>
      <c r="S584" s="10">
        <v>23931.14</v>
      </c>
      <c r="T584" s="7">
        <f t="shared" si="306"/>
        <v>142692.78</v>
      </c>
      <c r="U584" s="8">
        <f t="shared" si="317"/>
        <v>0</v>
      </c>
      <c r="V584" s="8"/>
      <c r="Z584" s="10"/>
      <c r="AA584" s="8"/>
      <c r="AG584" s="10">
        <f>316032.91*1.03</f>
        <v>325513.89729999995</v>
      </c>
      <c r="AH584" s="61">
        <f>+AG584-G584</f>
        <v>182821.11729999995</v>
      </c>
      <c r="AI584" s="8">
        <f>+G584</f>
        <v>142692.78</v>
      </c>
    </row>
    <row r="585" spans="2:35" ht="18" customHeight="1" x14ac:dyDescent="0.25">
      <c r="B585" s="64" t="s">
        <v>1110</v>
      </c>
      <c r="C585" s="75" t="s">
        <v>1111</v>
      </c>
      <c r="D585" s="64" t="s">
        <v>100</v>
      </c>
      <c r="E585" s="51">
        <f t="shared" si="326"/>
        <v>0</v>
      </c>
      <c r="F585" s="10">
        <f t="shared" si="283"/>
        <v>644569.90999999992</v>
      </c>
      <c r="G585" s="10">
        <f t="shared" si="327"/>
        <v>644569.90999999992</v>
      </c>
      <c r="H585" s="10">
        <v>50756.42</v>
      </c>
      <c r="I585" s="10">
        <v>54253.14</v>
      </c>
      <c r="J585" s="10">
        <v>111505.13</v>
      </c>
      <c r="K585" s="10">
        <v>50792.480000000003</v>
      </c>
      <c r="L585" s="10">
        <v>51725.03</v>
      </c>
      <c r="M585" s="10">
        <v>46928.35</v>
      </c>
      <c r="N585" s="10">
        <v>19526.66</v>
      </c>
      <c r="O585" s="10">
        <v>60149.54</v>
      </c>
      <c r="P585" s="10">
        <v>52326.66</v>
      </c>
      <c r="Q585" s="10">
        <v>48489.64</v>
      </c>
      <c r="R585" s="10">
        <v>47133.78</v>
      </c>
      <c r="S585" s="10">
        <v>50983.08</v>
      </c>
      <c r="T585" s="7">
        <f t="shared" si="306"/>
        <v>644569.90999999992</v>
      </c>
      <c r="U585" s="8">
        <f t="shared" si="317"/>
        <v>0</v>
      </c>
      <c r="V585" s="8"/>
      <c r="Z585" s="10"/>
      <c r="AA585" s="8"/>
      <c r="AI585" s="8"/>
    </row>
    <row r="586" spans="2:35" ht="9.75" customHeight="1" x14ac:dyDescent="0.25">
      <c r="B586" s="62" t="s">
        <v>1112</v>
      </c>
      <c r="C586" s="64" t="s">
        <v>1113</v>
      </c>
      <c r="D586" s="64" t="s">
        <v>100</v>
      </c>
      <c r="E586" s="51">
        <f t="shared" si="326"/>
        <v>0</v>
      </c>
      <c r="F586" s="10">
        <f t="shared" si="283"/>
        <v>4795717.8399999989</v>
      </c>
      <c r="G586" s="10">
        <f t="shared" si="327"/>
        <v>4795717.8399999989</v>
      </c>
      <c r="H586" s="10">
        <v>454890.08</v>
      </c>
      <c r="I586" s="10">
        <v>408417.09</v>
      </c>
      <c r="J586" s="10">
        <v>571574.31999999995</v>
      </c>
      <c r="K586" s="10">
        <v>450033.35</v>
      </c>
      <c r="L586" s="10">
        <v>621213.01</v>
      </c>
      <c r="M586" s="10">
        <v>537300.62</v>
      </c>
      <c r="N586" s="10">
        <v>141731.38</v>
      </c>
      <c r="O586" s="10">
        <v>310276.02</v>
      </c>
      <c r="P586" s="10">
        <v>324476.34000000003</v>
      </c>
      <c r="Q586" s="10">
        <v>371726.76</v>
      </c>
      <c r="R586" s="10">
        <v>224835.52</v>
      </c>
      <c r="S586" s="10">
        <v>379243.35</v>
      </c>
      <c r="T586" s="7">
        <f t="shared" si="306"/>
        <v>4795717.8399999989</v>
      </c>
      <c r="U586" s="8">
        <f t="shared" si="317"/>
        <v>0</v>
      </c>
      <c r="V586" s="8"/>
      <c r="Z586" s="10"/>
      <c r="AA586" s="8"/>
      <c r="AG586" s="10">
        <f>2981043.15*1.03</f>
        <v>3070474.4445000002</v>
      </c>
      <c r="AH586" s="61">
        <f t="shared" si="299"/>
        <v>-1725243.3954999987</v>
      </c>
      <c r="AI586" s="8">
        <f t="shared" si="328"/>
        <v>4795717.8399999989</v>
      </c>
    </row>
    <row r="587" spans="2:35" ht="9.75" customHeight="1" x14ac:dyDescent="0.25">
      <c r="B587" s="64" t="s">
        <v>1114</v>
      </c>
      <c r="C587" s="64" t="s">
        <v>1115</v>
      </c>
      <c r="D587" s="64" t="s">
        <v>100</v>
      </c>
      <c r="E587" s="51">
        <f t="shared" si="326"/>
        <v>0</v>
      </c>
      <c r="F587" s="10">
        <f t="shared" si="283"/>
        <v>976203.70000000019</v>
      </c>
      <c r="G587" s="10">
        <f t="shared" si="327"/>
        <v>976203.70000000019</v>
      </c>
      <c r="H587" s="10">
        <v>73159.11</v>
      </c>
      <c r="I587" s="10">
        <v>84672.62</v>
      </c>
      <c r="J587" s="10">
        <v>79335.759999999995</v>
      </c>
      <c r="K587" s="10">
        <v>76000.88</v>
      </c>
      <c r="L587" s="10">
        <v>78982.14</v>
      </c>
      <c r="M587" s="10">
        <v>92197.57</v>
      </c>
      <c r="N587" s="10">
        <v>87113.44</v>
      </c>
      <c r="O587" s="10">
        <v>84732.1</v>
      </c>
      <c r="P587" s="10">
        <v>86990.3</v>
      </c>
      <c r="Q587" s="10">
        <v>77797.94</v>
      </c>
      <c r="R587" s="10">
        <v>79025.81</v>
      </c>
      <c r="S587" s="10">
        <v>76196.03</v>
      </c>
      <c r="T587" s="7">
        <f t="shared" si="306"/>
        <v>976203.70000000019</v>
      </c>
      <c r="U587" s="8">
        <f t="shared" si="317"/>
        <v>0</v>
      </c>
      <c r="V587" s="8"/>
      <c r="Z587" s="10"/>
      <c r="AA587" s="8"/>
      <c r="AG587" s="10">
        <f>1041542.49*1.03</f>
        <v>1072788.7646999999</v>
      </c>
      <c r="AH587" s="61">
        <f t="shared" si="299"/>
        <v>96585.064699999755</v>
      </c>
      <c r="AI587" s="8">
        <f t="shared" si="328"/>
        <v>976203.70000000019</v>
      </c>
    </row>
    <row r="588" spans="2:35" ht="9.75" customHeight="1" x14ac:dyDescent="0.25">
      <c r="B588" s="64" t="s">
        <v>1116</v>
      </c>
      <c r="C588" s="64" t="s">
        <v>1117</v>
      </c>
      <c r="D588" s="64" t="s">
        <v>100</v>
      </c>
      <c r="E588" s="51">
        <f t="shared" si="326"/>
        <v>0</v>
      </c>
      <c r="F588" s="10">
        <f t="shared" si="283"/>
        <v>2375629.4000000004</v>
      </c>
      <c r="G588" s="10">
        <f t="shared" si="327"/>
        <v>2375629.4000000004</v>
      </c>
      <c r="H588" s="10">
        <v>74748.53</v>
      </c>
      <c r="I588" s="10">
        <v>468288.15</v>
      </c>
      <c r="J588" s="10">
        <v>76251.89</v>
      </c>
      <c r="K588" s="10">
        <v>71744.33</v>
      </c>
      <c r="L588" s="10">
        <v>608575.69999999995</v>
      </c>
      <c r="M588" s="10">
        <v>55550.36</v>
      </c>
      <c r="N588" s="10">
        <v>40297.39</v>
      </c>
      <c r="O588" s="10">
        <v>402328.37</v>
      </c>
      <c r="P588" s="10">
        <v>70930.070000000007</v>
      </c>
      <c r="Q588" s="10">
        <v>68964</v>
      </c>
      <c r="R588" s="10">
        <v>363788.61</v>
      </c>
      <c r="S588" s="10">
        <v>74162</v>
      </c>
      <c r="T588" s="7">
        <f t="shared" si="306"/>
        <v>2375629.4000000004</v>
      </c>
      <c r="U588" s="8">
        <f t="shared" si="317"/>
        <v>0</v>
      </c>
      <c r="V588" s="8"/>
      <c r="Z588" s="10"/>
      <c r="AA588" s="8"/>
      <c r="AG588" s="10">
        <f>2750784.36*1.03</f>
        <v>2833307.8908000002</v>
      </c>
      <c r="AH588" s="61">
        <f t="shared" si="299"/>
        <v>457678.4907999998</v>
      </c>
      <c r="AI588" s="8">
        <f t="shared" si="328"/>
        <v>2375629.4000000004</v>
      </c>
    </row>
    <row r="589" spans="2:35" ht="9.75" customHeight="1" x14ac:dyDescent="0.25">
      <c r="B589" s="64" t="s">
        <v>1118</v>
      </c>
      <c r="C589" s="64" t="s">
        <v>1119</v>
      </c>
      <c r="D589" s="64"/>
      <c r="F589" s="10"/>
      <c r="G589" s="10">
        <f t="shared" si="327"/>
        <v>822.67</v>
      </c>
      <c r="H589" s="10">
        <v>0</v>
      </c>
      <c r="I589" s="10">
        <v>0</v>
      </c>
      <c r="J589" s="10">
        <v>822.67</v>
      </c>
      <c r="K589" s="10">
        <v>0</v>
      </c>
      <c r="L589" s="10">
        <v>0</v>
      </c>
      <c r="M589" s="10">
        <v>0</v>
      </c>
      <c r="N589" s="10"/>
      <c r="O589" s="10"/>
      <c r="P589" s="10">
        <v>0</v>
      </c>
      <c r="Q589" s="10"/>
      <c r="R589" s="10"/>
      <c r="S589" s="10"/>
      <c r="T589" s="7">
        <f t="shared" si="306"/>
        <v>822.67</v>
      </c>
      <c r="U589" s="8">
        <f t="shared" si="317"/>
        <v>0</v>
      </c>
      <c r="V589" s="8"/>
      <c r="Z589" s="10"/>
      <c r="AA589" s="8"/>
      <c r="AI589" s="8"/>
    </row>
    <row r="590" spans="2:35" ht="9.75" customHeight="1" x14ac:dyDescent="0.25">
      <c r="B590" s="64" t="s">
        <v>1120</v>
      </c>
      <c r="C590" s="64" t="s">
        <v>1121</v>
      </c>
      <c r="D590" s="64" t="s">
        <v>100</v>
      </c>
      <c r="E590" s="51">
        <f t="shared" si="326"/>
        <v>0</v>
      </c>
      <c r="F590" s="10">
        <f t="shared" si="283"/>
        <v>60425547.839999996</v>
      </c>
      <c r="G590" s="10">
        <f t="shared" si="327"/>
        <v>60425547.839999996</v>
      </c>
      <c r="H590" s="10">
        <v>5218700.87</v>
      </c>
      <c r="I590" s="10">
        <v>4893710.43</v>
      </c>
      <c r="J590" s="10">
        <v>6748431.5899999999</v>
      </c>
      <c r="K590" s="10">
        <v>5220168.4800000004</v>
      </c>
      <c r="L590" s="10">
        <v>7152099.0499999998</v>
      </c>
      <c r="M590" s="10">
        <v>5726781.1500000004</v>
      </c>
      <c r="N590" s="10">
        <v>5401258.5800000001</v>
      </c>
      <c r="O590" s="10">
        <v>4840011.29</v>
      </c>
      <c r="P590" s="10">
        <v>5194563.66</v>
      </c>
      <c r="Q590" s="10">
        <v>3540993</v>
      </c>
      <c r="R590" s="10">
        <v>2844596.86</v>
      </c>
      <c r="S590" s="10">
        <v>3644232.88</v>
      </c>
      <c r="T590" s="7">
        <f t="shared" si="306"/>
        <v>60425547.839999996</v>
      </c>
      <c r="U590" s="8">
        <f t="shared" si="317"/>
        <v>0</v>
      </c>
      <c r="V590" s="8"/>
      <c r="Z590" s="10"/>
      <c r="AA590" s="8"/>
      <c r="AG590" s="10">
        <f>59119000.25*1.03</f>
        <v>60892570.2575</v>
      </c>
      <c r="AH590" s="61">
        <f t="shared" si="299"/>
        <v>467022.41750000417</v>
      </c>
      <c r="AI590" s="8">
        <f t="shared" si="328"/>
        <v>60425547.839999996</v>
      </c>
    </row>
    <row r="591" spans="2:35" ht="9.75" customHeight="1" x14ac:dyDescent="0.25">
      <c r="B591" s="64" t="s">
        <v>1122</v>
      </c>
      <c r="C591" s="64" t="s">
        <v>1123</v>
      </c>
      <c r="D591" s="64" t="s">
        <v>100</v>
      </c>
      <c r="E591" s="51">
        <f t="shared" si="326"/>
        <v>0</v>
      </c>
      <c r="F591" s="10">
        <f t="shared" si="283"/>
        <v>5491058.6499999994</v>
      </c>
      <c r="G591" s="10">
        <f t="shared" si="327"/>
        <v>5491058.6499999994</v>
      </c>
      <c r="H591" s="10">
        <v>422585.76</v>
      </c>
      <c r="I591" s="10">
        <v>510960.11</v>
      </c>
      <c r="J591" s="10">
        <v>478754.65</v>
      </c>
      <c r="K591" s="10">
        <v>458630.2</v>
      </c>
      <c r="L591" s="10">
        <v>476620.72</v>
      </c>
      <c r="M591" s="10">
        <v>556369.73</v>
      </c>
      <c r="N591" s="10">
        <v>525689.37</v>
      </c>
      <c r="O591" s="10">
        <v>511319.09</v>
      </c>
      <c r="P591" s="10">
        <v>524946.22</v>
      </c>
      <c r="Q591" s="10">
        <v>93132.800000000003</v>
      </c>
      <c r="R591" s="10">
        <v>443015</v>
      </c>
      <c r="S591" s="10">
        <v>489035</v>
      </c>
      <c r="T591" s="7">
        <f t="shared" si="306"/>
        <v>5491058.6499999994</v>
      </c>
      <c r="U591" s="8">
        <f t="shared" si="317"/>
        <v>0</v>
      </c>
      <c r="V591" s="8"/>
      <c r="Z591" s="10"/>
      <c r="AA591" s="8"/>
      <c r="AG591" s="10">
        <f>8262664.13*1.03</f>
        <v>8510544.0538999997</v>
      </c>
      <c r="AH591" s="61">
        <f t="shared" si="299"/>
        <v>3019485.4039000003</v>
      </c>
      <c r="AI591" s="8">
        <f t="shared" si="328"/>
        <v>5491058.6499999994</v>
      </c>
    </row>
    <row r="592" spans="2:35" ht="9.75" customHeight="1" x14ac:dyDescent="0.25">
      <c r="B592" s="64" t="s">
        <v>1124</v>
      </c>
      <c r="C592" s="64" t="s">
        <v>1125</v>
      </c>
      <c r="D592" s="64" t="s">
        <v>100</v>
      </c>
      <c r="E592" s="51">
        <f t="shared" si="326"/>
        <v>0</v>
      </c>
      <c r="F592" s="10">
        <f t="shared" si="283"/>
        <v>930717.5</v>
      </c>
      <c r="G592" s="10">
        <f>SUM(H592:S592)</f>
        <v>930717.5</v>
      </c>
      <c r="H592" s="10">
        <v>0</v>
      </c>
      <c r="I592" s="10">
        <v>0</v>
      </c>
      <c r="J592" s="10">
        <v>60000</v>
      </c>
      <c r="K592" s="10"/>
      <c r="L592" s="10">
        <v>60000</v>
      </c>
      <c r="M592" s="10"/>
      <c r="N592" s="10">
        <v>60000</v>
      </c>
      <c r="O592" s="10">
        <v>279979.5</v>
      </c>
      <c r="P592" s="10">
        <v>350738</v>
      </c>
      <c r="Q592" s="10">
        <v>60000</v>
      </c>
      <c r="R592" s="10">
        <v>60000</v>
      </c>
      <c r="S592" s="10">
        <v>0</v>
      </c>
      <c r="T592" s="7">
        <f t="shared" si="306"/>
        <v>930717.5</v>
      </c>
      <c r="U592" s="8">
        <f t="shared" si="317"/>
        <v>0</v>
      </c>
      <c r="V592" s="8"/>
      <c r="Z592" s="10"/>
      <c r="AA592" s="8"/>
      <c r="AI592" s="8"/>
    </row>
    <row r="593" spans="2:39" ht="9.75" customHeight="1" x14ac:dyDescent="0.25">
      <c r="B593" s="64" t="s">
        <v>1126</v>
      </c>
      <c r="C593" s="64" t="s">
        <v>1127</v>
      </c>
      <c r="D593" s="64" t="s">
        <v>100</v>
      </c>
      <c r="E593" s="51">
        <f t="shared" si="326"/>
        <v>0</v>
      </c>
      <c r="F593" s="10">
        <f t="shared" si="283"/>
        <v>5436918</v>
      </c>
      <c r="G593" s="10">
        <f t="shared" si="327"/>
        <v>5436918</v>
      </c>
      <c r="H593" s="10">
        <v>0</v>
      </c>
      <c r="I593" s="10">
        <v>0</v>
      </c>
      <c r="J593" s="10">
        <v>745106</v>
      </c>
      <c r="K593" s="10">
        <v>444542</v>
      </c>
      <c r="L593" s="10">
        <v>354219</v>
      </c>
      <c r="M593" s="10">
        <v>741930</v>
      </c>
      <c r="N593" s="10">
        <v>740814</v>
      </c>
      <c r="O593" s="10">
        <v>778037</v>
      </c>
      <c r="P593" s="10">
        <v>361529</v>
      </c>
      <c r="Q593" s="10">
        <v>363728</v>
      </c>
      <c r="R593" s="10">
        <v>543285</v>
      </c>
      <c r="S593" s="10">
        <v>363728</v>
      </c>
      <c r="T593" s="7">
        <f t="shared" si="306"/>
        <v>5436918</v>
      </c>
      <c r="U593" s="8">
        <f t="shared" si="317"/>
        <v>0</v>
      </c>
      <c r="V593" s="8"/>
      <c r="Z593" s="10"/>
      <c r="AA593" s="8"/>
      <c r="AG593" s="10">
        <f>918480*1.03</f>
        <v>946034.4</v>
      </c>
      <c r="AH593" s="61">
        <f t="shared" si="299"/>
        <v>-4490883.5999999996</v>
      </c>
      <c r="AI593" s="8">
        <f t="shared" si="328"/>
        <v>5436918</v>
      </c>
    </row>
    <row r="594" spans="2:39" ht="9.75" customHeight="1" x14ac:dyDescent="0.25">
      <c r="B594" s="64" t="s">
        <v>1128</v>
      </c>
      <c r="C594" s="64" t="s">
        <v>1129</v>
      </c>
      <c r="D594" s="64" t="s">
        <v>100</v>
      </c>
      <c r="E594" s="51">
        <f t="shared" si="326"/>
        <v>0</v>
      </c>
      <c r="F594" s="10">
        <f t="shared" si="283"/>
        <v>0</v>
      </c>
      <c r="G594" s="10">
        <f t="shared" si="327"/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0</v>
      </c>
      <c r="R594" s="10">
        <v>0</v>
      </c>
      <c r="S594" s="10">
        <v>0</v>
      </c>
      <c r="T594" s="7">
        <f t="shared" si="306"/>
        <v>0</v>
      </c>
      <c r="U594" s="8">
        <f t="shared" si="317"/>
        <v>0</v>
      </c>
      <c r="V594" s="8"/>
      <c r="Z594" s="10">
        <v>413151.59</v>
      </c>
      <c r="AA594" s="8">
        <f t="shared" si="311"/>
        <v>413151.59</v>
      </c>
      <c r="AG594" s="10">
        <f>401118.05*1.03</f>
        <v>413151.59149999998</v>
      </c>
      <c r="AH594" s="61">
        <f t="shared" si="299"/>
        <v>413151.59149999998</v>
      </c>
      <c r="AI594" s="8">
        <f t="shared" si="328"/>
        <v>0</v>
      </c>
    </row>
    <row r="595" spans="2:39" ht="9.75" customHeight="1" x14ac:dyDescent="0.25">
      <c r="B595" s="64" t="s">
        <v>1130</v>
      </c>
      <c r="C595" s="64" t="s">
        <v>1131</v>
      </c>
      <c r="D595" s="64" t="s">
        <v>100</v>
      </c>
      <c r="E595" s="51">
        <f t="shared" si="326"/>
        <v>0</v>
      </c>
      <c r="F595" s="10">
        <f t="shared" si="283"/>
        <v>82</v>
      </c>
      <c r="G595" s="10">
        <f t="shared" si="327"/>
        <v>82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82</v>
      </c>
      <c r="P595" s="10">
        <v>0</v>
      </c>
      <c r="Q595" s="10">
        <v>0</v>
      </c>
      <c r="R595" s="10">
        <v>0</v>
      </c>
      <c r="S595" s="10">
        <v>0</v>
      </c>
      <c r="T595" s="7">
        <f t="shared" si="306"/>
        <v>82</v>
      </c>
      <c r="U595" s="8">
        <f t="shared" si="317"/>
        <v>0</v>
      </c>
      <c r="V595" s="8"/>
      <c r="Z595" s="10">
        <v>134814.54999999999</v>
      </c>
      <c r="AA595" s="8">
        <f t="shared" si="311"/>
        <v>134732.54999999999</v>
      </c>
      <c r="AG595" s="10">
        <f>130887.92*1.03</f>
        <v>134814.5576</v>
      </c>
      <c r="AH595" s="61">
        <f t="shared" si="299"/>
        <v>134732.5576</v>
      </c>
      <c r="AI595" s="8">
        <f t="shared" si="328"/>
        <v>82</v>
      </c>
    </row>
    <row r="596" spans="2:39" ht="9.75" customHeight="1" x14ac:dyDescent="0.25">
      <c r="B596" s="64" t="s">
        <v>1132</v>
      </c>
      <c r="C596" s="64" t="s">
        <v>1133</v>
      </c>
      <c r="D596" s="64" t="s">
        <v>100</v>
      </c>
      <c r="E596" s="51">
        <f t="shared" si="326"/>
        <v>0</v>
      </c>
      <c r="F596" s="10">
        <f t="shared" si="283"/>
        <v>0</v>
      </c>
      <c r="G596" s="10">
        <f t="shared" si="327"/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10">
        <v>0</v>
      </c>
      <c r="S596" s="10">
        <v>0</v>
      </c>
      <c r="T596" s="7">
        <f t="shared" si="306"/>
        <v>0</v>
      </c>
      <c r="U596" s="8">
        <f t="shared" si="317"/>
        <v>0</v>
      </c>
      <c r="V596" s="8"/>
      <c r="Z596" s="10">
        <v>0</v>
      </c>
      <c r="AA596" s="8">
        <f t="shared" si="311"/>
        <v>0</v>
      </c>
      <c r="AH596" s="61">
        <f t="shared" si="299"/>
        <v>0</v>
      </c>
      <c r="AI596" s="8">
        <f t="shared" si="328"/>
        <v>0</v>
      </c>
    </row>
    <row r="597" spans="2:39" ht="9.75" customHeight="1" x14ac:dyDescent="0.25">
      <c r="B597" s="64" t="s">
        <v>1134</v>
      </c>
      <c r="C597" s="64" t="s">
        <v>1135</v>
      </c>
      <c r="D597" s="64" t="s">
        <v>100</v>
      </c>
      <c r="E597" s="51">
        <f t="shared" si="326"/>
        <v>0</v>
      </c>
      <c r="F597" s="10">
        <f t="shared" si="283"/>
        <v>0</v>
      </c>
      <c r="G597" s="10">
        <f t="shared" si="327"/>
        <v>0</v>
      </c>
      <c r="H597" s="10">
        <v>0</v>
      </c>
      <c r="I597" s="10">
        <v>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10">
        <v>0</v>
      </c>
      <c r="S597" s="10">
        <v>0</v>
      </c>
      <c r="T597" s="7">
        <f t="shared" si="306"/>
        <v>0</v>
      </c>
      <c r="U597" s="8">
        <f t="shared" si="317"/>
        <v>0</v>
      </c>
      <c r="V597" s="8"/>
      <c r="Z597" s="10">
        <v>0</v>
      </c>
      <c r="AA597" s="8">
        <f t="shared" si="311"/>
        <v>0</v>
      </c>
      <c r="AH597" s="61">
        <f t="shared" si="299"/>
        <v>0</v>
      </c>
      <c r="AI597" s="8">
        <f t="shared" si="328"/>
        <v>0</v>
      </c>
    </row>
    <row r="598" spans="2:39" ht="9.75" customHeight="1" x14ac:dyDescent="0.25">
      <c r="B598" s="64" t="s">
        <v>1136</v>
      </c>
      <c r="C598" s="64" t="s">
        <v>1137</v>
      </c>
      <c r="D598" s="64" t="s">
        <v>100</v>
      </c>
      <c r="E598" s="51">
        <f t="shared" si="326"/>
        <v>0</v>
      </c>
      <c r="F598" s="10">
        <f t="shared" si="283"/>
        <v>111830.36000000002</v>
      </c>
      <c r="G598" s="10">
        <f t="shared" si="327"/>
        <v>111830.36000000002</v>
      </c>
      <c r="H598" s="10">
        <v>5440.14</v>
      </c>
      <c r="I598" s="10">
        <v>5929.8</v>
      </c>
      <c r="J598" s="10">
        <v>5929.8</v>
      </c>
      <c r="K598" s="10">
        <v>5929.8</v>
      </c>
      <c r="L598" s="10">
        <v>33738.019999999997</v>
      </c>
      <c r="M598" s="10">
        <v>23910.75</v>
      </c>
      <c r="N598" s="10">
        <v>5332.35</v>
      </c>
      <c r="O598" s="10">
        <v>5332.35</v>
      </c>
      <c r="P598" s="10">
        <v>5332.35</v>
      </c>
      <c r="Q598" s="10">
        <v>5651</v>
      </c>
      <c r="R598" s="10">
        <v>4651</v>
      </c>
      <c r="S598" s="10">
        <v>4653</v>
      </c>
      <c r="T598" s="7">
        <f t="shared" si="306"/>
        <v>111830.36000000002</v>
      </c>
      <c r="U598" s="8">
        <f t="shared" si="317"/>
        <v>0</v>
      </c>
      <c r="V598" s="8"/>
      <c r="Z598" s="10"/>
      <c r="AA598" s="8"/>
      <c r="AH598" s="61">
        <f t="shared" si="299"/>
        <v>-111830.36000000002</v>
      </c>
      <c r="AI598" s="8">
        <f t="shared" si="328"/>
        <v>111830.36000000002</v>
      </c>
    </row>
    <row r="599" spans="2:39" ht="9.75" customHeight="1" x14ac:dyDescent="0.25">
      <c r="B599" s="64" t="s">
        <v>1138</v>
      </c>
      <c r="C599" s="64" t="s">
        <v>1139</v>
      </c>
      <c r="D599" s="64" t="s">
        <v>100</v>
      </c>
      <c r="E599" s="51">
        <f t="shared" si="326"/>
        <v>0</v>
      </c>
      <c r="F599" s="10">
        <f t="shared" si="283"/>
        <v>0</v>
      </c>
      <c r="G599" s="10">
        <f t="shared" si="327"/>
        <v>0</v>
      </c>
      <c r="H599" s="10">
        <v>0</v>
      </c>
      <c r="I599" s="10">
        <v>0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7">
        <f t="shared" si="306"/>
        <v>0</v>
      </c>
      <c r="U599" s="8">
        <f t="shared" si="317"/>
        <v>0</v>
      </c>
      <c r="V599" s="8"/>
      <c r="Z599" s="10">
        <v>496395.92</v>
      </c>
      <c r="AA599" s="8">
        <f t="shared" si="311"/>
        <v>496395.92</v>
      </c>
      <c r="AG599" s="10">
        <f>481937.79*1.03</f>
        <v>496395.92369999998</v>
      </c>
      <c r="AH599" s="61">
        <f t="shared" si="299"/>
        <v>496395.92369999998</v>
      </c>
      <c r="AI599" s="8">
        <f t="shared" si="328"/>
        <v>0</v>
      </c>
    </row>
    <row r="600" spans="2:39" ht="9.75" customHeight="1" x14ac:dyDescent="0.25">
      <c r="B600" s="64" t="s">
        <v>1140</v>
      </c>
      <c r="C600" s="64" t="s">
        <v>1141</v>
      </c>
      <c r="D600" s="64" t="s">
        <v>100</v>
      </c>
      <c r="E600" s="51">
        <f t="shared" si="326"/>
        <v>0</v>
      </c>
      <c r="F600" s="10">
        <f t="shared" si="283"/>
        <v>282489.46999999997</v>
      </c>
      <c r="G600" s="10">
        <f t="shared" si="327"/>
        <v>282489.46999999997</v>
      </c>
      <c r="H600" s="10">
        <v>37302.99</v>
      </c>
      <c r="I600" s="10">
        <v>35276.879999999997</v>
      </c>
      <c r="J600" s="10">
        <v>29418.53</v>
      </c>
      <c r="K600" s="10">
        <v>20160.580000000002</v>
      </c>
      <c r="L600" s="10">
        <v>0</v>
      </c>
      <c r="M600" s="10">
        <v>0</v>
      </c>
      <c r="N600" s="10">
        <v>24167.7</v>
      </c>
      <c r="O600" s="10">
        <v>25090.06</v>
      </c>
      <c r="P600" s="10">
        <v>29271.73</v>
      </c>
      <c r="Q600" s="10">
        <v>27267</v>
      </c>
      <c r="R600" s="10">
        <v>27267</v>
      </c>
      <c r="S600" s="10">
        <v>27267</v>
      </c>
      <c r="T600" s="7">
        <f t="shared" si="306"/>
        <v>282489.46999999997</v>
      </c>
      <c r="U600" s="8">
        <f t="shared" si="317"/>
        <v>0</v>
      </c>
      <c r="V600" s="8"/>
      <c r="Z600" s="10"/>
      <c r="AA600" s="8"/>
      <c r="AI600" s="8"/>
    </row>
    <row r="601" spans="2:39" ht="9.75" customHeight="1" x14ac:dyDescent="0.25">
      <c r="B601" s="64" t="s">
        <v>1142</v>
      </c>
      <c r="C601" s="64" t="s">
        <v>1143</v>
      </c>
      <c r="D601" s="64" t="s">
        <v>100</v>
      </c>
      <c r="E601" s="51">
        <f t="shared" si="326"/>
        <v>0</v>
      </c>
      <c r="F601" s="10">
        <f t="shared" si="283"/>
        <v>210417.12000000002</v>
      </c>
      <c r="G601" s="10">
        <f>SUM(H601:S601)</f>
        <v>210417.12000000002</v>
      </c>
      <c r="H601" s="10">
        <v>13554.99</v>
      </c>
      <c r="I601" s="10">
        <v>2195.65</v>
      </c>
      <c r="J601" s="10">
        <v>10227.540000000001</v>
      </c>
      <c r="K601" s="10">
        <v>21826.49</v>
      </c>
      <c r="L601" s="10">
        <v>6618.76</v>
      </c>
      <c r="M601" s="10">
        <v>65959.009999999995</v>
      </c>
      <c r="N601" s="10">
        <v>20605.849999999999</v>
      </c>
      <c r="O601" s="10">
        <v>17919.669999999998</v>
      </c>
      <c r="P601" s="10">
        <v>10676.16</v>
      </c>
      <c r="Q601" s="10">
        <v>16848</v>
      </c>
      <c r="R601" s="10">
        <v>13913</v>
      </c>
      <c r="S601" s="10">
        <v>10072</v>
      </c>
      <c r="T601" s="7">
        <f t="shared" si="306"/>
        <v>210417.12000000002</v>
      </c>
      <c r="U601" s="8">
        <f t="shared" si="317"/>
        <v>0</v>
      </c>
      <c r="V601" s="8"/>
      <c r="Z601" s="10"/>
      <c r="AA601" s="8"/>
      <c r="AI601" s="8"/>
    </row>
    <row r="602" spans="2:39" ht="9.75" customHeight="1" x14ac:dyDescent="0.25">
      <c r="B602" s="62" t="s">
        <v>1144</v>
      </c>
      <c r="C602" s="62" t="s">
        <v>1145</v>
      </c>
      <c r="D602" s="62"/>
      <c r="F602" s="10"/>
      <c r="G602" s="63">
        <f>+G603+G606</f>
        <v>35047738.579999998</v>
      </c>
      <c r="H602" s="63">
        <f t="shared" ref="H602:S602" si="329">+H603+H606</f>
        <v>3287725.3499999996</v>
      </c>
      <c r="I602" s="63">
        <f t="shared" si="329"/>
        <v>3282671.05</v>
      </c>
      <c r="J602" s="63">
        <f t="shared" si="329"/>
        <v>3282671.5799999996</v>
      </c>
      <c r="K602" s="63">
        <f t="shared" si="329"/>
        <v>3298377.78</v>
      </c>
      <c r="L602" s="63">
        <f t="shared" si="329"/>
        <v>3310877.63</v>
      </c>
      <c r="M602" s="63">
        <f t="shared" si="329"/>
        <v>3318908.77</v>
      </c>
      <c r="N602" s="63">
        <f t="shared" si="329"/>
        <v>3292671.05</v>
      </c>
      <c r="O602" s="63">
        <f t="shared" si="329"/>
        <v>3292671.05</v>
      </c>
      <c r="P602" s="63">
        <f t="shared" si="329"/>
        <v>3292671.05</v>
      </c>
      <c r="Q602" s="63">
        <f t="shared" si="329"/>
        <v>3292671.05</v>
      </c>
      <c r="R602" s="63">
        <f t="shared" si="329"/>
        <v>1047911.11</v>
      </c>
      <c r="S602" s="63">
        <f t="shared" si="329"/>
        <v>1047911.11</v>
      </c>
      <c r="T602" s="7">
        <f t="shared" si="306"/>
        <v>35047738.579999998</v>
      </c>
      <c r="U602" s="8">
        <f t="shared" si="317"/>
        <v>0</v>
      </c>
      <c r="V602" s="8"/>
      <c r="Z602" s="63"/>
      <c r="AA602" s="8"/>
      <c r="AH602" s="61">
        <f t="shared" si="299"/>
        <v>-35047738.579999998</v>
      </c>
      <c r="AI602" s="8"/>
    </row>
    <row r="603" spans="2:39" ht="9.75" customHeight="1" x14ac:dyDescent="0.25">
      <c r="B603" s="62" t="s">
        <v>1146</v>
      </c>
      <c r="C603" s="62" t="s">
        <v>1147</v>
      </c>
      <c r="D603" s="62"/>
      <c r="F603" s="10"/>
      <c r="G603" s="63">
        <f>+G604+G605</f>
        <v>22472805.260000002</v>
      </c>
      <c r="H603" s="63">
        <f t="shared" ref="H603:S603" si="330">+H604+H605</f>
        <v>2239814.2399999998</v>
      </c>
      <c r="I603" s="63">
        <f t="shared" si="330"/>
        <v>2234759.94</v>
      </c>
      <c r="J603" s="63">
        <f t="shared" si="330"/>
        <v>2234760.4699999997</v>
      </c>
      <c r="K603" s="63">
        <f t="shared" si="330"/>
        <v>2250466.67</v>
      </c>
      <c r="L603" s="63">
        <f t="shared" si="330"/>
        <v>2262966.52</v>
      </c>
      <c r="M603" s="63">
        <f t="shared" si="330"/>
        <v>2270997.66</v>
      </c>
      <c r="N603" s="63">
        <f t="shared" si="330"/>
        <v>2244759.94</v>
      </c>
      <c r="O603" s="63">
        <f t="shared" si="330"/>
        <v>2244759.94</v>
      </c>
      <c r="P603" s="63">
        <f t="shared" si="330"/>
        <v>2244759.94</v>
      </c>
      <c r="Q603" s="63">
        <f t="shared" si="330"/>
        <v>2244759.94</v>
      </c>
      <c r="R603" s="63">
        <f t="shared" si="330"/>
        <v>0</v>
      </c>
      <c r="S603" s="63">
        <f t="shared" si="330"/>
        <v>0</v>
      </c>
      <c r="T603" s="7">
        <f t="shared" si="306"/>
        <v>22472805.260000002</v>
      </c>
      <c r="U603" s="8">
        <f t="shared" si="317"/>
        <v>0</v>
      </c>
      <c r="V603" s="8"/>
      <c r="Z603" s="63"/>
      <c r="AA603" s="8"/>
      <c r="AB603" s="57">
        <v>20924527.460000001</v>
      </c>
      <c r="AH603" s="61">
        <f t="shared" si="299"/>
        <v>-22472805.260000002</v>
      </c>
      <c r="AI603" s="8"/>
    </row>
    <row r="604" spans="2:39" ht="9.75" customHeight="1" x14ac:dyDescent="0.25">
      <c r="B604" s="64" t="s">
        <v>1148</v>
      </c>
      <c r="C604" s="64" t="s">
        <v>1149</v>
      </c>
      <c r="D604" s="64" t="s">
        <v>100</v>
      </c>
      <c r="E604" s="51">
        <f t="shared" si="326"/>
        <v>0</v>
      </c>
      <c r="F604" s="10">
        <f t="shared" si="283"/>
        <v>22347599.400000002</v>
      </c>
      <c r="G604" s="10">
        <f>SUM(H604:S604)</f>
        <v>22347599.400000002</v>
      </c>
      <c r="H604" s="10">
        <v>2234759.94</v>
      </c>
      <c r="I604" s="10">
        <v>2234759.94</v>
      </c>
      <c r="J604" s="10">
        <v>2234759.94</v>
      </c>
      <c r="K604" s="10">
        <v>2234759.94</v>
      </c>
      <c r="L604" s="10">
        <v>2234759.94</v>
      </c>
      <c r="M604" s="10">
        <v>2234759.94</v>
      </c>
      <c r="N604" s="10">
        <v>2234759.94</v>
      </c>
      <c r="O604" s="10">
        <v>2234759.94</v>
      </c>
      <c r="P604" s="10">
        <v>2234759.94</v>
      </c>
      <c r="Q604" s="10">
        <v>2234759.94</v>
      </c>
      <c r="R604" s="10">
        <v>0</v>
      </c>
      <c r="S604" s="10">
        <v>0</v>
      </c>
      <c r="T604" s="7">
        <f t="shared" si="306"/>
        <v>22347599.400000002</v>
      </c>
      <c r="U604" s="8">
        <f t="shared" si="317"/>
        <v>0</v>
      </c>
      <c r="V604" s="8"/>
      <c r="Z604" s="10"/>
      <c r="AA604" s="8"/>
      <c r="AG604" s="10">
        <f>20315075.2*1.03</f>
        <v>20924527.456</v>
      </c>
      <c r="AH604" s="61">
        <f t="shared" si="299"/>
        <v>-1423071.944000002</v>
      </c>
      <c r="AI604" s="8">
        <f>+G604</f>
        <v>22347599.400000002</v>
      </c>
      <c r="AJ604" s="10">
        <v>1696811.73</v>
      </c>
      <c r="AK604" s="86">
        <v>100</v>
      </c>
      <c r="AL604" s="10">
        <v>651202.42000000004</v>
      </c>
      <c r="AM604" s="86">
        <v>100</v>
      </c>
    </row>
    <row r="605" spans="2:39" ht="9.75" customHeight="1" x14ac:dyDescent="0.25">
      <c r="B605" s="64" t="s">
        <v>1150</v>
      </c>
      <c r="C605" s="64" t="s">
        <v>965</v>
      </c>
      <c r="D605" s="64"/>
      <c r="F605" s="10"/>
      <c r="G605" s="10">
        <f>SUM(H605:S605)</f>
        <v>125205.86</v>
      </c>
      <c r="H605" s="10">
        <v>5054.3</v>
      </c>
      <c r="I605" s="10">
        <v>0</v>
      </c>
      <c r="J605" s="10">
        <v>0.53</v>
      </c>
      <c r="K605" s="10">
        <v>15706.73</v>
      </c>
      <c r="L605" s="10">
        <v>28206.58</v>
      </c>
      <c r="M605" s="10">
        <f>36746-508.28</f>
        <v>36237.72</v>
      </c>
      <c r="N605" s="10">
        <v>10000</v>
      </c>
      <c r="O605" s="10">
        <v>10000</v>
      </c>
      <c r="P605" s="10">
        <v>10000</v>
      </c>
      <c r="Q605" s="10">
        <v>10000</v>
      </c>
      <c r="R605" s="10"/>
      <c r="S605" s="10"/>
      <c r="T605" s="7">
        <f t="shared" si="306"/>
        <v>125205.86</v>
      </c>
      <c r="U605" s="8">
        <f t="shared" si="317"/>
        <v>0</v>
      </c>
      <c r="V605" s="8"/>
      <c r="Z605" s="10"/>
      <c r="AA605" s="8"/>
      <c r="AI605" s="8"/>
      <c r="AJ605" s="10"/>
      <c r="AK605" s="86"/>
      <c r="AL605" s="10"/>
      <c r="AM605" s="86"/>
    </row>
    <row r="606" spans="2:39" ht="9.75" customHeight="1" x14ac:dyDescent="0.25">
      <c r="B606" s="62" t="s">
        <v>1151</v>
      </c>
      <c r="C606" s="62" t="s">
        <v>1152</v>
      </c>
      <c r="D606" s="62"/>
      <c r="F606" s="10"/>
      <c r="G606" s="63">
        <f>+G607</f>
        <v>12574933.319999998</v>
      </c>
      <c r="H606" s="63">
        <f t="shared" ref="H606:S606" si="331">+H607</f>
        <v>1047911.11</v>
      </c>
      <c r="I606" s="63">
        <f t="shared" si="331"/>
        <v>1047911.11</v>
      </c>
      <c r="J606" s="63">
        <f t="shared" si="331"/>
        <v>1047911.11</v>
      </c>
      <c r="K606" s="63">
        <f t="shared" si="331"/>
        <v>1047911.11</v>
      </c>
      <c r="L606" s="63">
        <f t="shared" si="331"/>
        <v>1047911.11</v>
      </c>
      <c r="M606" s="63">
        <f t="shared" si="331"/>
        <v>1047911.11</v>
      </c>
      <c r="N606" s="63">
        <f t="shared" si="331"/>
        <v>1047911.11</v>
      </c>
      <c r="O606" s="63">
        <f t="shared" si="331"/>
        <v>1047911.11</v>
      </c>
      <c r="P606" s="63">
        <f t="shared" si="331"/>
        <v>1047911.11</v>
      </c>
      <c r="Q606" s="63">
        <f t="shared" si="331"/>
        <v>1047911.11</v>
      </c>
      <c r="R606" s="63">
        <f t="shared" si="331"/>
        <v>1047911.11</v>
      </c>
      <c r="S606" s="63">
        <f t="shared" si="331"/>
        <v>1047911.11</v>
      </c>
      <c r="T606" s="7">
        <f t="shared" si="306"/>
        <v>12574933.319999998</v>
      </c>
      <c r="U606" s="8">
        <f t="shared" si="317"/>
        <v>0</v>
      </c>
      <c r="V606" s="8"/>
      <c r="W606" s="63"/>
      <c r="X606" s="63"/>
      <c r="Y606" s="63"/>
      <c r="Z606" s="63"/>
      <c r="AA606" s="8"/>
      <c r="AB606" s="63">
        <v>9070151.1600000001</v>
      </c>
      <c r="AC606" s="63"/>
      <c r="AD606" s="63"/>
      <c r="AE606" s="63"/>
      <c r="AF606" s="63"/>
      <c r="AH606" s="61">
        <f t="shared" si="299"/>
        <v>-12574933.319999998</v>
      </c>
      <c r="AI606" s="8"/>
      <c r="AJ606" s="10">
        <v>2031507.52</v>
      </c>
      <c r="AK606" s="86">
        <f>+AJ606*AK604/AJ604</f>
        <v>119.7249809205409</v>
      </c>
      <c r="AL606" s="10">
        <v>733831</v>
      </c>
      <c r="AM606" s="86">
        <f>+AL606*AM604/AL604</f>
        <v>112.6886168512703</v>
      </c>
    </row>
    <row r="607" spans="2:39" ht="9.75" customHeight="1" x14ac:dyDescent="0.25">
      <c r="B607" s="64" t="s">
        <v>1153</v>
      </c>
      <c r="C607" s="64" t="s">
        <v>1154</v>
      </c>
      <c r="D607" s="64" t="s">
        <v>100</v>
      </c>
      <c r="E607" s="51">
        <f t="shared" si="326"/>
        <v>0</v>
      </c>
      <c r="F607" s="10">
        <f t="shared" si="283"/>
        <v>12574933.319999998</v>
      </c>
      <c r="G607" s="10">
        <f>SUM(H607:S607)</f>
        <v>12574933.319999998</v>
      </c>
      <c r="H607" s="10">
        <v>1047911.11</v>
      </c>
      <c r="I607" s="10">
        <v>1047911.11</v>
      </c>
      <c r="J607" s="10">
        <v>1047911.11</v>
      </c>
      <c r="K607" s="10">
        <v>1047911.11</v>
      </c>
      <c r="L607" s="10">
        <v>1047911.11</v>
      </c>
      <c r="M607" s="10">
        <v>1047911.11</v>
      </c>
      <c r="N607" s="10">
        <v>1047911.11</v>
      </c>
      <c r="O607" s="10">
        <v>1047911.11</v>
      </c>
      <c r="P607" s="10">
        <v>1047911.11</v>
      </c>
      <c r="Q607" s="10">
        <v>1047911.11</v>
      </c>
      <c r="R607" s="10">
        <v>1047911.11</v>
      </c>
      <c r="S607" s="10">
        <v>1047911.11</v>
      </c>
      <c r="T607" s="7">
        <f t="shared" si="306"/>
        <v>12574933.319999998</v>
      </c>
      <c r="U607" s="8">
        <f t="shared" si="317"/>
        <v>0</v>
      </c>
      <c r="V607" s="8"/>
      <c r="Z607" s="10"/>
      <c r="AA607" s="8"/>
      <c r="AG607" s="10">
        <f>8805972*1.03</f>
        <v>9070151.1600000001</v>
      </c>
      <c r="AH607" s="61">
        <f t="shared" si="299"/>
        <v>-3504782.1599999983</v>
      </c>
      <c r="AI607" s="8">
        <f>+G607</f>
        <v>12574933.319999998</v>
      </c>
      <c r="AJ607" s="86"/>
      <c r="AL607" s="86"/>
    </row>
    <row r="608" spans="2:39" ht="9.75" customHeight="1" x14ac:dyDescent="0.25">
      <c r="B608" s="62" t="s">
        <v>1155</v>
      </c>
      <c r="C608" s="62" t="s">
        <v>1156</v>
      </c>
      <c r="D608" s="62"/>
      <c r="F608" s="10"/>
      <c r="G608" s="63">
        <f>+G609+G612</f>
        <v>0</v>
      </c>
      <c r="H608" s="63">
        <f t="shared" ref="H608:S608" si="332">+H609+H612</f>
        <v>0</v>
      </c>
      <c r="I608" s="63">
        <f t="shared" si="332"/>
        <v>0</v>
      </c>
      <c r="J608" s="63">
        <f t="shared" si="332"/>
        <v>0</v>
      </c>
      <c r="K608" s="63">
        <f t="shared" si="332"/>
        <v>0</v>
      </c>
      <c r="L608" s="63">
        <f t="shared" si="332"/>
        <v>0</v>
      </c>
      <c r="M608" s="63">
        <f t="shared" si="332"/>
        <v>0</v>
      </c>
      <c r="N608" s="63">
        <f t="shared" si="332"/>
        <v>0</v>
      </c>
      <c r="O608" s="63">
        <f t="shared" si="332"/>
        <v>0</v>
      </c>
      <c r="P608" s="63">
        <f t="shared" si="332"/>
        <v>0</v>
      </c>
      <c r="Q608" s="63">
        <f t="shared" si="332"/>
        <v>0</v>
      </c>
      <c r="R608" s="63">
        <f t="shared" si="332"/>
        <v>0</v>
      </c>
      <c r="S608" s="63">
        <f t="shared" si="332"/>
        <v>0</v>
      </c>
      <c r="T608" s="7">
        <f t="shared" si="306"/>
        <v>0</v>
      </c>
      <c r="U608" s="8">
        <f t="shared" si="317"/>
        <v>0</v>
      </c>
      <c r="V608" s="8"/>
      <c r="Z608" s="10"/>
      <c r="AA608" s="8"/>
      <c r="AI608" s="8"/>
      <c r="AJ608" s="86"/>
      <c r="AL608" s="86"/>
    </row>
    <row r="609" spans="2:38" ht="9.75" customHeight="1" x14ac:dyDescent="0.25">
      <c r="B609" s="62" t="s">
        <v>1157</v>
      </c>
      <c r="C609" s="62" t="s">
        <v>1158</v>
      </c>
      <c r="D609" s="62"/>
      <c r="F609" s="10"/>
      <c r="G609" s="63">
        <f>+G610</f>
        <v>0</v>
      </c>
      <c r="H609" s="63">
        <f t="shared" ref="H609:S610" si="333">+H610</f>
        <v>0</v>
      </c>
      <c r="I609" s="63">
        <f t="shared" si="333"/>
        <v>0</v>
      </c>
      <c r="J609" s="63">
        <f t="shared" si="333"/>
        <v>0</v>
      </c>
      <c r="K609" s="63">
        <f t="shared" si="333"/>
        <v>0</v>
      </c>
      <c r="L609" s="63">
        <f t="shared" si="333"/>
        <v>0</v>
      </c>
      <c r="M609" s="63">
        <f t="shared" si="333"/>
        <v>0</v>
      </c>
      <c r="N609" s="63">
        <f t="shared" si="333"/>
        <v>0</v>
      </c>
      <c r="O609" s="63">
        <f t="shared" si="333"/>
        <v>0</v>
      </c>
      <c r="P609" s="63">
        <f t="shared" si="333"/>
        <v>0</v>
      </c>
      <c r="Q609" s="63">
        <f t="shared" si="333"/>
        <v>0</v>
      </c>
      <c r="R609" s="63">
        <f t="shared" si="333"/>
        <v>0</v>
      </c>
      <c r="S609" s="63">
        <f t="shared" si="333"/>
        <v>0</v>
      </c>
      <c r="T609" s="7">
        <f t="shared" si="306"/>
        <v>0</v>
      </c>
      <c r="U609" s="8">
        <f t="shared" si="317"/>
        <v>0</v>
      </c>
      <c r="V609" s="8"/>
      <c r="Z609" s="10"/>
      <c r="AA609" s="8"/>
      <c r="AI609" s="8"/>
      <c r="AJ609" s="86"/>
      <c r="AL609" s="86"/>
    </row>
    <row r="610" spans="2:38" ht="9.75" customHeight="1" x14ac:dyDescent="0.25">
      <c r="B610" s="62" t="s">
        <v>1159</v>
      </c>
      <c r="C610" s="62" t="s">
        <v>1160</v>
      </c>
      <c r="D610" s="62"/>
      <c r="F610" s="10"/>
      <c r="G610" s="63">
        <f>+G611</f>
        <v>0</v>
      </c>
      <c r="H610" s="63">
        <f t="shared" si="333"/>
        <v>0</v>
      </c>
      <c r="I610" s="63">
        <f t="shared" si="333"/>
        <v>0</v>
      </c>
      <c r="J610" s="63">
        <f t="shared" si="333"/>
        <v>0</v>
      </c>
      <c r="K610" s="63">
        <f t="shared" si="333"/>
        <v>0</v>
      </c>
      <c r="L610" s="63">
        <f t="shared" si="333"/>
        <v>0</v>
      </c>
      <c r="M610" s="63">
        <f t="shared" si="333"/>
        <v>0</v>
      </c>
      <c r="N610" s="63">
        <f t="shared" si="333"/>
        <v>0</v>
      </c>
      <c r="O610" s="63">
        <f t="shared" si="333"/>
        <v>0</v>
      </c>
      <c r="P610" s="63">
        <f t="shared" si="333"/>
        <v>0</v>
      </c>
      <c r="Q610" s="63">
        <f t="shared" si="333"/>
        <v>0</v>
      </c>
      <c r="R610" s="63">
        <f t="shared" si="333"/>
        <v>0</v>
      </c>
      <c r="S610" s="63">
        <f t="shared" si="333"/>
        <v>0</v>
      </c>
      <c r="T610" s="7">
        <f t="shared" si="306"/>
        <v>0</v>
      </c>
      <c r="U610" s="8">
        <f t="shared" si="317"/>
        <v>0</v>
      </c>
      <c r="V610" s="8"/>
      <c r="Z610" s="10"/>
      <c r="AA610" s="8"/>
      <c r="AI610" s="8"/>
      <c r="AJ610" s="86"/>
      <c r="AL610" s="86"/>
    </row>
    <row r="611" spans="2:38" ht="9.75" customHeight="1" x14ac:dyDescent="0.25">
      <c r="B611" s="64" t="s">
        <v>1161</v>
      </c>
      <c r="C611" s="64" t="s">
        <v>1162</v>
      </c>
      <c r="D611" s="64" t="s">
        <v>100</v>
      </c>
      <c r="E611" s="51">
        <f t="shared" si="326"/>
        <v>0</v>
      </c>
      <c r="F611" s="10">
        <f t="shared" si="283"/>
        <v>0</v>
      </c>
      <c r="G611" s="10">
        <f>SUM(H611:S611)</f>
        <v>0</v>
      </c>
      <c r="H611" s="10">
        <v>0</v>
      </c>
      <c r="I611" s="10">
        <v>0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0</v>
      </c>
      <c r="R611" s="10">
        <v>0</v>
      </c>
      <c r="S611" s="10">
        <v>0</v>
      </c>
      <c r="T611" s="7">
        <f t="shared" si="306"/>
        <v>0</v>
      </c>
      <c r="U611" s="8">
        <f t="shared" si="317"/>
        <v>0</v>
      </c>
      <c r="V611" s="8"/>
      <c r="Z611" s="10"/>
      <c r="AA611" s="8"/>
      <c r="AI611" s="8"/>
      <c r="AJ611" s="86"/>
      <c r="AL611" s="86"/>
    </row>
    <row r="612" spans="2:38" ht="9.75" customHeight="1" x14ac:dyDescent="0.25">
      <c r="B612" s="62" t="s">
        <v>1163</v>
      </c>
      <c r="C612" s="62" t="s">
        <v>1164</v>
      </c>
      <c r="D612" s="62"/>
      <c r="E612" s="51">
        <f t="shared" si="326"/>
        <v>0</v>
      </c>
      <c r="F612" s="10"/>
      <c r="G612" s="63">
        <f>+G613</f>
        <v>0</v>
      </c>
      <c r="H612" s="63">
        <f t="shared" ref="H612:S613" si="334">+H613</f>
        <v>0</v>
      </c>
      <c r="I612" s="63">
        <f t="shared" si="334"/>
        <v>0</v>
      </c>
      <c r="J612" s="63">
        <f t="shared" si="334"/>
        <v>0</v>
      </c>
      <c r="K612" s="63">
        <f t="shared" si="334"/>
        <v>0</v>
      </c>
      <c r="L612" s="63">
        <f t="shared" si="334"/>
        <v>0</v>
      </c>
      <c r="M612" s="63">
        <f t="shared" si="334"/>
        <v>0</v>
      </c>
      <c r="N612" s="63">
        <f t="shared" si="334"/>
        <v>0</v>
      </c>
      <c r="O612" s="63">
        <f t="shared" si="334"/>
        <v>0</v>
      </c>
      <c r="P612" s="63">
        <f t="shared" si="334"/>
        <v>0</v>
      </c>
      <c r="Q612" s="63">
        <f t="shared" si="334"/>
        <v>0</v>
      </c>
      <c r="R612" s="63">
        <f t="shared" si="334"/>
        <v>0</v>
      </c>
      <c r="S612" s="63">
        <f t="shared" si="334"/>
        <v>0</v>
      </c>
      <c r="T612" s="7">
        <f t="shared" si="306"/>
        <v>0</v>
      </c>
      <c r="U612" s="8">
        <f t="shared" si="317"/>
        <v>0</v>
      </c>
      <c r="V612" s="8"/>
      <c r="Z612" s="10"/>
      <c r="AA612" s="8"/>
      <c r="AI612" s="8"/>
      <c r="AJ612" s="86"/>
      <c r="AL612" s="86"/>
    </row>
    <row r="613" spans="2:38" ht="9.75" customHeight="1" x14ac:dyDescent="0.25">
      <c r="B613" s="62" t="s">
        <v>1165</v>
      </c>
      <c r="C613" s="62" t="s">
        <v>1166</v>
      </c>
      <c r="D613" s="62"/>
      <c r="E613" s="51">
        <f t="shared" si="326"/>
        <v>0</v>
      </c>
      <c r="F613" s="10"/>
      <c r="G613" s="63">
        <f>+G614</f>
        <v>0</v>
      </c>
      <c r="H613" s="63">
        <f t="shared" si="334"/>
        <v>0</v>
      </c>
      <c r="I613" s="63">
        <f t="shared" si="334"/>
        <v>0</v>
      </c>
      <c r="J613" s="63">
        <f t="shared" si="334"/>
        <v>0</v>
      </c>
      <c r="K613" s="63">
        <f t="shared" si="334"/>
        <v>0</v>
      </c>
      <c r="L613" s="63">
        <f t="shared" si="334"/>
        <v>0</v>
      </c>
      <c r="M613" s="63">
        <f t="shared" si="334"/>
        <v>0</v>
      </c>
      <c r="N613" s="63">
        <f t="shared" si="334"/>
        <v>0</v>
      </c>
      <c r="O613" s="63">
        <f t="shared" si="334"/>
        <v>0</v>
      </c>
      <c r="P613" s="63">
        <f t="shared" si="334"/>
        <v>0</v>
      </c>
      <c r="Q613" s="63">
        <f t="shared" si="334"/>
        <v>0</v>
      </c>
      <c r="R613" s="63">
        <f t="shared" si="334"/>
        <v>0</v>
      </c>
      <c r="S613" s="63">
        <f t="shared" si="334"/>
        <v>0</v>
      </c>
      <c r="T613" s="7">
        <f t="shared" si="306"/>
        <v>0</v>
      </c>
      <c r="U613" s="8">
        <f t="shared" si="317"/>
        <v>0</v>
      </c>
      <c r="V613" s="8"/>
      <c r="Z613" s="10"/>
      <c r="AA613" s="8"/>
      <c r="AI613" s="8"/>
      <c r="AJ613" s="86"/>
      <c r="AL613" s="86"/>
    </row>
    <row r="614" spans="2:38" ht="9.75" customHeight="1" x14ac:dyDescent="0.25">
      <c r="B614" s="64" t="s">
        <v>1167</v>
      </c>
      <c r="C614" s="64" t="s">
        <v>1168</v>
      </c>
      <c r="D614" s="64" t="s">
        <v>100</v>
      </c>
      <c r="E614" s="51">
        <f t="shared" si="326"/>
        <v>0</v>
      </c>
      <c r="F614" s="10">
        <f t="shared" ref="F614:F618" si="335">+G614</f>
        <v>0</v>
      </c>
      <c r="G614" s="10">
        <f>SUM(H614:S614)</f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0</v>
      </c>
      <c r="R614" s="10">
        <v>0</v>
      </c>
      <c r="S614" s="10">
        <v>0</v>
      </c>
      <c r="T614" s="7">
        <f t="shared" si="306"/>
        <v>0</v>
      </c>
      <c r="U614" s="8">
        <f t="shared" si="317"/>
        <v>0</v>
      </c>
      <c r="V614" s="8"/>
      <c r="Z614" s="10"/>
      <c r="AA614" s="8"/>
      <c r="AI614" s="8"/>
      <c r="AJ614" s="86"/>
      <c r="AL614" s="86"/>
    </row>
    <row r="615" spans="2:38" ht="9.75" customHeight="1" x14ac:dyDescent="0.25">
      <c r="B615" s="87" t="s">
        <v>1169</v>
      </c>
      <c r="C615" s="87" t="s">
        <v>1170</v>
      </c>
      <c r="D615" s="87"/>
      <c r="E615" s="51">
        <f t="shared" ref="E615" si="336">SUM(H615:S615)-G615</f>
        <v>0</v>
      </c>
      <c r="F615" s="10"/>
      <c r="G615" s="63">
        <f>+G616</f>
        <v>1128216.92</v>
      </c>
      <c r="H615" s="63">
        <f t="shared" ref="H615:S616" si="337">+H616</f>
        <v>0</v>
      </c>
      <c r="I615" s="63">
        <f t="shared" si="337"/>
        <v>0</v>
      </c>
      <c r="J615" s="63">
        <f t="shared" si="337"/>
        <v>0</v>
      </c>
      <c r="K615" s="63">
        <f t="shared" si="337"/>
        <v>0</v>
      </c>
      <c r="L615" s="63">
        <f t="shared" si="337"/>
        <v>0</v>
      </c>
      <c r="M615" s="63">
        <f t="shared" si="337"/>
        <v>0</v>
      </c>
      <c r="N615" s="63">
        <f t="shared" si="337"/>
        <v>0</v>
      </c>
      <c r="O615" s="63">
        <f t="shared" si="337"/>
        <v>0</v>
      </c>
      <c r="P615" s="63">
        <f t="shared" si="337"/>
        <v>0</v>
      </c>
      <c r="Q615" s="63">
        <f t="shared" si="337"/>
        <v>545984</v>
      </c>
      <c r="R615" s="63">
        <f t="shared" si="337"/>
        <v>279352</v>
      </c>
      <c r="S615" s="63">
        <f t="shared" si="337"/>
        <v>302880.92</v>
      </c>
      <c r="T615" s="7">
        <f t="shared" si="306"/>
        <v>1128216.92</v>
      </c>
      <c r="U615" s="8">
        <f t="shared" si="317"/>
        <v>0</v>
      </c>
      <c r="Z615" s="63"/>
      <c r="AA615" s="8"/>
      <c r="AH615" s="61">
        <f t="shared" si="299"/>
        <v>-1128216.92</v>
      </c>
      <c r="AI615" s="8"/>
      <c r="AJ615" s="86"/>
      <c r="AL615" s="88"/>
    </row>
    <row r="616" spans="2:38" ht="9.75" customHeight="1" x14ac:dyDescent="0.25">
      <c r="B616" s="87" t="s">
        <v>1171</v>
      </c>
      <c r="C616" s="87" t="s">
        <v>1172</v>
      </c>
      <c r="D616" s="87"/>
      <c r="F616" s="10"/>
      <c r="G616" s="63">
        <f>+G617</f>
        <v>1128216.92</v>
      </c>
      <c r="H616" s="63">
        <f t="shared" si="337"/>
        <v>0</v>
      </c>
      <c r="I616" s="63">
        <f t="shared" si="337"/>
        <v>0</v>
      </c>
      <c r="J616" s="63">
        <f t="shared" si="337"/>
        <v>0</v>
      </c>
      <c r="K616" s="63">
        <f t="shared" si="337"/>
        <v>0</v>
      </c>
      <c r="L616" s="63">
        <f t="shared" si="337"/>
        <v>0</v>
      </c>
      <c r="M616" s="63">
        <f t="shared" si="337"/>
        <v>0</v>
      </c>
      <c r="N616" s="63">
        <f t="shared" si="337"/>
        <v>0</v>
      </c>
      <c r="O616" s="63">
        <f t="shared" si="337"/>
        <v>0</v>
      </c>
      <c r="P616" s="63">
        <f t="shared" si="337"/>
        <v>0</v>
      </c>
      <c r="Q616" s="63">
        <f t="shared" si="337"/>
        <v>545984</v>
      </c>
      <c r="R616" s="63">
        <f t="shared" si="337"/>
        <v>279352</v>
      </c>
      <c r="S616" s="63">
        <f t="shared" si="337"/>
        <v>302880.92</v>
      </c>
      <c r="T616" s="7">
        <f t="shared" ref="T616:T620" si="338">SUM(H616:S616)</f>
        <v>1128216.92</v>
      </c>
      <c r="U616" s="8">
        <f t="shared" si="317"/>
        <v>0</v>
      </c>
      <c r="Z616" s="63"/>
      <c r="AA616" s="8"/>
      <c r="AH616" s="61">
        <f t="shared" si="299"/>
        <v>-1128216.92</v>
      </c>
      <c r="AI616" s="8"/>
    </row>
    <row r="617" spans="2:38" ht="9.75" customHeight="1" x14ac:dyDescent="0.25">
      <c r="B617" s="87" t="s">
        <v>1173</v>
      </c>
      <c r="C617" s="87" t="s">
        <v>1174</v>
      </c>
      <c r="D617" s="87"/>
      <c r="F617" s="10"/>
      <c r="G617" s="63">
        <f>+G618+G619</f>
        <v>1128216.92</v>
      </c>
      <c r="H617" s="63">
        <f t="shared" ref="H617:S617" si="339">+H618+H619</f>
        <v>0</v>
      </c>
      <c r="I617" s="63">
        <f t="shared" si="339"/>
        <v>0</v>
      </c>
      <c r="J617" s="63">
        <f t="shared" si="339"/>
        <v>0</v>
      </c>
      <c r="K617" s="63">
        <f t="shared" si="339"/>
        <v>0</v>
      </c>
      <c r="L617" s="63">
        <f t="shared" si="339"/>
        <v>0</v>
      </c>
      <c r="M617" s="63">
        <f t="shared" si="339"/>
        <v>0</v>
      </c>
      <c r="N617" s="63">
        <f t="shared" si="339"/>
        <v>0</v>
      </c>
      <c r="O617" s="63">
        <f t="shared" si="339"/>
        <v>0</v>
      </c>
      <c r="P617" s="63">
        <f t="shared" si="339"/>
        <v>0</v>
      </c>
      <c r="Q617" s="63">
        <f t="shared" si="339"/>
        <v>545984</v>
      </c>
      <c r="R617" s="63">
        <f t="shared" si="339"/>
        <v>279352</v>
      </c>
      <c r="S617" s="63">
        <f t="shared" si="339"/>
        <v>302880.92</v>
      </c>
      <c r="T617" s="7">
        <f t="shared" si="338"/>
        <v>1128216.92</v>
      </c>
      <c r="U617" s="8">
        <f t="shared" si="317"/>
        <v>0</v>
      </c>
      <c r="Z617" s="63"/>
      <c r="AA617" s="8"/>
      <c r="AH617" s="61">
        <f t="shared" si="299"/>
        <v>-1128216.92</v>
      </c>
      <c r="AI617" s="8"/>
    </row>
    <row r="618" spans="2:38" ht="9.75" customHeight="1" x14ac:dyDescent="0.25">
      <c r="B618" s="67" t="s">
        <v>1175</v>
      </c>
      <c r="C618" s="67" t="s">
        <v>1176</v>
      </c>
      <c r="D618" s="64" t="s">
        <v>100</v>
      </c>
      <c r="E618" s="51">
        <f t="shared" ref="E618" si="340">+F618-G618</f>
        <v>0</v>
      </c>
      <c r="F618" s="10">
        <f t="shared" si="335"/>
        <v>1128216.92</v>
      </c>
      <c r="G618" s="10">
        <f>SUM(H618:S618)</f>
        <v>1128216.92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545984</v>
      </c>
      <c r="R618" s="10">
        <v>279352</v>
      </c>
      <c r="S618" s="10">
        <f>278150+24730.92</f>
        <v>302880.92</v>
      </c>
      <c r="T618" s="7">
        <f t="shared" si="338"/>
        <v>1128216.92</v>
      </c>
      <c r="U618" s="8">
        <f t="shared" si="317"/>
        <v>0</v>
      </c>
      <c r="Z618" s="10"/>
      <c r="AA618" s="8"/>
      <c r="AH618" s="61">
        <f t="shared" si="299"/>
        <v>-1128216.92</v>
      </c>
      <c r="AI618" s="8">
        <f>+G618</f>
        <v>1128216.92</v>
      </c>
    </row>
    <row r="619" spans="2:38" ht="9.75" customHeight="1" x14ac:dyDescent="0.25">
      <c r="B619" s="89"/>
      <c r="C619" s="64"/>
      <c r="D619" s="64"/>
      <c r="F619" s="14"/>
      <c r="G619" s="14"/>
      <c r="H619" s="14"/>
      <c r="I619" s="14"/>
      <c r="J619" s="14"/>
      <c r="K619" s="14"/>
      <c r="L619" s="14"/>
      <c r="M619" s="10"/>
      <c r="N619" s="14"/>
      <c r="O619" s="14"/>
      <c r="P619" s="14"/>
      <c r="Q619" s="14"/>
      <c r="R619" s="14"/>
      <c r="S619" s="65"/>
      <c r="AI619" s="10">
        <f>SUM(AI19:AI618)</f>
        <v>120234728.56999999</v>
      </c>
    </row>
    <row r="620" spans="2:38" ht="9.75" customHeight="1" x14ac:dyDescent="0.25">
      <c r="B620" s="89"/>
      <c r="F620" s="90"/>
      <c r="G620" s="90"/>
      <c r="S620" s="8"/>
    </row>
    <row r="621" spans="2:38" ht="9.75" customHeight="1" x14ac:dyDescent="0.25">
      <c r="B621" s="89"/>
      <c r="F621" s="90"/>
      <c r="G621" s="90"/>
    </row>
    <row r="622" spans="2:38" ht="9.75" customHeight="1" x14ac:dyDescent="0.25">
      <c r="B622" s="89"/>
      <c r="F622" s="90"/>
      <c r="G622" s="90"/>
    </row>
    <row r="623" spans="2:38" ht="9.75" customHeight="1" x14ac:dyDescent="0.25">
      <c r="B623" s="89"/>
      <c r="F623" s="90"/>
      <c r="G623" s="90"/>
    </row>
    <row r="624" spans="2:38" ht="9.75" customHeight="1" x14ac:dyDescent="0.25">
      <c r="B624" s="89"/>
      <c r="F624" s="90"/>
      <c r="G624" s="90"/>
    </row>
    <row r="625" spans="2:12" ht="9.75" customHeight="1" x14ac:dyDescent="0.25">
      <c r="B625" s="89"/>
      <c r="F625" s="90"/>
      <c r="G625" s="90"/>
    </row>
    <row r="626" spans="2:12" ht="9.75" customHeight="1" x14ac:dyDescent="0.25">
      <c r="B626" s="89"/>
      <c r="F626" s="90"/>
      <c r="G626" s="90"/>
    </row>
    <row r="627" spans="2:12" ht="9.75" customHeight="1" x14ac:dyDescent="0.25">
      <c r="B627" s="89"/>
      <c r="F627" s="91"/>
      <c r="G627" s="91"/>
      <c r="H627" s="92"/>
      <c r="I627" s="92"/>
      <c r="J627" s="92"/>
      <c r="K627" s="92"/>
      <c r="L627" s="92"/>
    </row>
    <row r="628" spans="2:12" ht="9.75" customHeight="1" x14ac:dyDescent="0.25">
      <c r="B628" s="89"/>
      <c r="F628" s="91"/>
      <c r="G628" s="91"/>
      <c r="H628" s="92"/>
      <c r="I628" s="92"/>
      <c r="J628" s="92"/>
      <c r="K628" s="92"/>
      <c r="L628" s="92"/>
    </row>
    <row r="629" spans="2:12" ht="9.75" customHeight="1" x14ac:dyDescent="0.25">
      <c r="B629" s="89"/>
      <c r="F629" s="90"/>
      <c r="G629" s="90"/>
    </row>
    <row r="630" spans="2:12" ht="9.75" customHeight="1" x14ac:dyDescent="0.25">
      <c r="B630" s="89"/>
      <c r="F630" s="90"/>
      <c r="G630" s="90"/>
    </row>
    <row r="631" spans="2:12" ht="9.75" customHeight="1" x14ac:dyDescent="0.25">
      <c r="B631" s="89"/>
      <c r="F631" s="91"/>
      <c r="G631" s="91"/>
      <c r="H631" s="92"/>
      <c r="I631" s="92"/>
      <c r="J631" s="92"/>
      <c r="K631" s="92"/>
      <c r="L631" s="92"/>
    </row>
    <row r="632" spans="2:12" ht="9.75" customHeight="1" x14ac:dyDescent="0.25">
      <c r="B632" s="89"/>
      <c r="F632" s="90"/>
      <c r="G632" s="90"/>
    </row>
    <row r="633" spans="2:12" ht="9.75" customHeight="1" x14ac:dyDescent="0.25">
      <c r="B633" s="89"/>
      <c r="F633" s="90"/>
      <c r="G633" s="90"/>
    </row>
    <row r="634" spans="2:12" ht="9.75" customHeight="1" x14ac:dyDescent="0.25">
      <c r="B634" s="89"/>
      <c r="F634" s="90"/>
      <c r="G634" s="90"/>
    </row>
    <row r="635" spans="2:12" ht="9.75" customHeight="1" x14ac:dyDescent="0.25">
      <c r="B635" s="89"/>
      <c r="F635" s="90"/>
      <c r="G635" s="90"/>
    </row>
    <row r="636" spans="2:12" ht="9.75" customHeight="1" x14ac:dyDescent="0.25">
      <c r="B636" s="93"/>
      <c r="F636" s="91"/>
      <c r="G636" s="91"/>
      <c r="H636" s="92"/>
      <c r="I636" s="92"/>
      <c r="J636" s="92"/>
      <c r="K636" s="92"/>
      <c r="L636" s="92"/>
    </row>
    <row r="637" spans="2:12" ht="9.75" customHeight="1" x14ac:dyDescent="0.25">
      <c r="B637" s="93"/>
      <c r="F637" s="91"/>
      <c r="G637" s="91"/>
      <c r="H637" s="92"/>
      <c r="I637" s="92"/>
      <c r="J637" s="92"/>
      <c r="K637" s="92"/>
      <c r="L637" s="92"/>
    </row>
    <row r="638" spans="2:12" ht="9.75" customHeight="1" x14ac:dyDescent="0.25">
      <c r="B638" s="89"/>
      <c r="F638" s="90"/>
      <c r="G638" s="90"/>
    </row>
    <row r="639" spans="2:12" ht="9.75" customHeight="1" x14ac:dyDescent="0.25">
      <c r="B639" s="89"/>
      <c r="F639" s="90"/>
      <c r="G639" s="90"/>
    </row>
    <row r="640" spans="2:12" ht="9.75" customHeight="1" x14ac:dyDescent="0.25">
      <c r="B640" s="93"/>
      <c r="F640" s="91"/>
      <c r="G640" s="91"/>
      <c r="H640" s="92"/>
      <c r="I640" s="92"/>
      <c r="J640" s="92"/>
      <c r="K640" s="92"/>
    </row>
    <row r="641" spans="2:12" ht="9.75" customHeight="1" x14ac:dyDescent="0.25">
      <c r="B641" s="89"/>
      <c r="F641" s="90"/>
      <c r="G641" s="90"/>
    </row>
    <row r="642" spans="2:12" ht="9.75" customHeight="1" x14ac:dyDescent="0.25">
      <c r="B642" s="89"/>
      <c r="F642" s="90"/>
      <c r="G642" s="90"/>
    </row>
    <row r="643" spans="2:12" ht="9.75" customHeight="1" x14ac:dyDescent="0.25">
      <c r="B643" s="89"/>
      <c r="E643" s="94"/>
      <c r="F643" s="90"/>
      <c r="G643" s="90"/>
    </row>
    <row r="644" spans="2:12" ht="9.75" customHeight="1" x14ac:dyDescent="0.25">
      <c r="B644" s="89"/>
      <c r="E644" s="94"/>
      <c r="F644" s="90"/>
      <c r="G644" s="90"/>
    </row>
    <row r="645" spans="2:12" ht="9.75" customHeight="1" x14ac:dyDescent="0.25">
      <c r="B645" s="93"/>
      <c r="E645" s="95"/>
      <c r="F645" s="91"/>
      <c r="G645" s="91"/>
      <c r="H645" s="92"/>
      <c r="I645" s="92"/>
      <c r="J645" s="92"/>
      <c r="K645" s="92"/>
    </row>
    <row r="646" spans="2:12" ht="9.75" customHeight="1" x14ac:dyDescent="0.25">
      <c r="B646" s="93"/>
      <c r="E646" s="95"/>
      <c r="F646" s="91"/>
      <c r="G646" s="91"/>
      <c r="H646" s="92"/>
      <c r="I646" s="92"/>
      <c r="J646" s="92"/>
      <c r="K646" s="92"/>
    </row>
    <row r="647" spans="2:12" ht="9.75" customHeight="1" x14ac:dyDescent="0.25">
      <c r="B647" s="89"/>
      <c r="E647" s="94"/>
      <c r="F647" s="90"/>
      <c r="G647" s="90"/>
    </row>
    <row r="648" spans="2:12" ht="9.75" customHeight="1" x14ac:dyDescent="0.25">
      <c r="B648" s="89"/>
      <c r="E648" s="94"/>
      <c r="F648" s="90"/>
      <c r="G648" s="90"/>
    </row>
    <row r="649" spans="2:12" ht="9.75" customHeight="1" x14ac:dyDescent="0.25">
      <c r="B649" s="89"/>
      <c r="E649" s="94"/>
      <c r="F649" s="90"/>
      <c r="G649" s="90"/>
    </row>
    <row r="650" spans="2:12" ht="9.75" customHeight="1" x14ac:dyDescent="0.25">
      <c r="B650" s="89"/>
      <c r="E650" s="94"/>
      <c r="F650" s="90"/>
      <c r="G650" s="90"/>
    </row>
    <row r="651" spans="2:12" ht="9.75" customHeight="1" x14ac:dyDescent="0.25">
      <c r="B651" s="89"/>
      <c r="E651" s="94"/>
      <c r="F651" s="90"/>
      <c r="G651" s="90"/>
    </row>
    <row r="652" spans="2:12" ht="9.75" customHeight="1" x14ac:dyDescent="0.25">
      <c r="B652" s="89"/>
      <c r="E652" s="94"/>
      <c r="F652" s="90"/>
      <c r="G652" s="90"/>
    </row>
    <row r="653" spans="2:12" ht="9.75" customHeight="1" x14ac:dyDescent="0.25">
      <c r="B653" s="89"/>
      <c r="E653" s="95"/>
      <c r="F653" s="91"/>
      <c r="G653" s="91"/>
      <c r="H653" s="92"/>
      <c r="I653" s="92"/>
      <c r="J653" s="92"/>
      <c r="K653" s="92"/>
      <c r="L653" s="92"/>
    </row>
    <row r="654" spans="2:12" ht="9.75" customHeight="1" x14ac:dyDescent="0.25">
      <c r="B654" s="89"/>
      <c r="E654" s="94"/>
      <c r="F654" s="90"/>
      <c r="G654" s="90"/>
    </row>
    <row r="655" spans="2:12" ht="9.75" customHeight="1" x14ac:dyDescent="0.25">
      <c r="B655" s="89"/>
      <c r="E655" s="94"/>
      <c r="F655" s="90"/>
      <c r="G655" s="90"/>
    </row>
    <row r="656" spans="2:12" ht="9.75" customHeight="1" x14ac:dyDescent="0.25">
      <c r="B656" s="89"/>
      <c r="E656" s="94"/>
      <c r="F656" s="90"/>
      <c r="G656" s="90"/>
    </row>
    <row r="657" spans="2:12" ht="9.75" customHeight="1" x14ac:dyDescent="0.25">
      <c r="B657" s="89"/>
      <c r="E657" s="94"/>
      <c r="F657" s="90"/>
      <c r="G657" s="90"/>
    </row>
    <row r="658" spans="2:12" ht="9.75" customHeight="1" x14ac:dyDescent="0.25">
      <c r="B658" s="89"/>
      <c r="E658" s="94"/>
      <c r="F658" s="90"/>
      <c r="G658" s="90"/>
    </row>
    <row r="659" spans="2:12" ht="9.75" customHeight="1" x14ac:dyDescent="0.25">
      <c r="B659" s="89"/>
      <c r="E659" s="94"/>
      <c r="F659" s="90"/>
      <c r="G659" s="90"/>
    </row>
    <row r="660" spans="2:12" ht="9.75" customHeight="1" x14ac:dyDescent="0.25">
      <c r="B660" s="89"/>
      <c r="E660" s="94"/>
      <c r="F660" s="90"/>
      <c r="G660" s="90"/>
    </row>
    <row r="661" spans="2:12" ht="9.75" customHeight="1" x14ac:dyDescent="0.25">
      <c r="B661" s="89"/>
      <c r="E661" s="94"/>
      <c r="F661" s="90"/>
      <c r="G661" s="90"/>
    </row>
    <row r="662" spans="2:12" ht="9.75" customHeight="1" x14ac:dyDescent="0.25">
      <c r="B662" s="93"/>
      <c r="E662" s="95"/>
      <c r="F662" s="91"/>
      <c r="G662" s="91"/>
      <c r="H662" s="92"/>
      <c r="I662" s="92"/>
      <c r="J662" s="92"/>
      <c r="K662" s="92"/>
    </row>
    <row r="663" spans="2:12" ht="9.75" customHeight="1" x14ac:dyDescent="0.25">
      <c r="B663" s="89"/>
      <c r="E663" s="94"/>
      <c r="F663" s="90"/>
      <c r="G663" s="90"/>
    </row>
    <row r="664" spans="2:12" ht="9.75" customHeight="1" x14ac:dyDescent="0.25">
      <c r="B664" s="89"/>
      <c r="E664" s="94"/>
      <c r="F664" s="90"/>
      <c r="G664" s="90"/>
    </row>
    <row r="665" spans="2:12" ht="9.75" customHeight="1" x14ac:dyDescent="0.25">
      <c r="B665" s="89"/>
      <c r="E665" s="94"/>
      <c r="F665" s="90"/>
      <c r="G665" s="90"/>
    </row>
    <row r="666" spans="2:12" ht="9.75" customHeight="1" x14ac:dyDescent="0.25">
      <c r="B666" s="89"/>
      <c r="E666" s="94"/>
      <c r="F666" s="90"/>
      <c r="G666" s="90"/>
    </row>
    <row r="667" spans="2:12" ht="9.75" customHeight="1" x14ac:dyDescent="0.25">
      <c r="B667" s="89"/>
      <c r="E667" s="94"/>
      <c r="F667" s="90"/>
      <c r="G667" s="90"/>
    </row>
    <row r="668" spans="2:12" ht="9.75" customHeight="1" x14ac:dyDescent="0.25">
      <c r="B668" s="89"/>
    </row>
    <row r="669" spans="2:12" ht="9.75" customHeight="1" x14ac:dyDescent="0.25">
      <c r="B669" s="89"/>
      <c r="E669" s="95"/>
      <c r="F669" s="91"/>
      <c r="G669" s="91"/>
      <c r="H669" s="92"/>
      <c r="I669" s="92"/>
      <c r="J669" s="92"/>
      <c r="K669" s="92"/>
      <c r="L669" s="92"/>
    </row>
    <row r="670" spans="2:12" ht="9.75" customHeight="1" x14ac:dyDescent="0.25">
      <c r="B670" s="89"/>
      <c r="E670" s="95"/>
      <c r="F670" s="91"/>
      <c r="G670" s="91"/>
      <c r="H670" s="92"/>
      <c r="I670" s="92"/>
      <c r="J670" s="92"/>
      <c r="K670" s="92"/>
      <c r="L670" s="92"/>
    </row>
    <row r="671" spans="2:12" ht="9.75" customHeight="1" x14ac:dyDescent="0.25">
      <c r="B671" s="89"/>
      <c r="E671" s="95"/>
      <c r="F671" s="91"/>
      <c r="G671" s="91"/>
      <c r="H671" s="92"/>
      <c r="I671" s="92"/>
      <c r="J671" s="92"/>
      <c r="K671" s="92"/>
      <c r="L671" s="92"/>
    </row>
    <row r="672" spans="2:12" ht="9.75" customHeight="1" x14ac:dyDescent="0.25">
      <c r="B672" s="89"/>
      <c r="E672" s="95"/>
      <c r="F672" s="91"/>
      <c r="G672" s="91"/>
      <c r="H672" s="92"/>
      <c r="I672" s="92"/>
      <c r="J672" s="92"/>
      <c r="K672" s="92"/>
      <c r="L672" s="92"/>
    </row>
    <row r="673" spans="2:12" ht="9.75" customHeight="1" x14ac:dyDescent="0.25">
      <c r="B673" s="89"/>
      <c r="E673" s="94"/>
      <c r="F673" s="90"/>
      <c r="G673" s="90"/>
    </row>
    <row r="674" spans="2:12" ht="9.75" customHeight="1" x14ac:dyDescent="0.25">
      <c r="B674" s="89"/>
      <c r="E674" s="95"/>
      <c r="F674" s="91"/>
      <c r="G674" s="91"/>
      <c r="H674" s="92"/>
      <c r="I674" s="92"/>
      <c r="J674" s="92"/>
      <c r="K674" s="92"/>
      <c r="L674" s="92"/>
    </row>
    <row r="675" spans="2:12" ht="9.75" customHeight="1" x14ac:dyDescent="0.25">
      <c r="B675" s="89"/>
      <c r="E675" s="94"/>
      <c r="F675" s="90"/>
      <c r="G675" s="90"/>
    </row>
    <row r="676" spans="2:12" ht="9.75" customHeight="1" x14ac:dyDescent="0.25">
      <c r="B676" s="89"/>
      <c r="E676" s="94"/>
      <c r="F676" s="90"/>
      <c r="G676" s="90"/>
    </row>
    <row r="677" spans="2:12" ht="9.75" customHeight="1" x14ac:dyDescent="0.25">
      <c r="B677" s="89"/>
      <c r="E677" s="95"/>
      <c r="F677" s="91"/>
      <c r="G677" s="91"/>
      <c r="H677" s="92"/>
      <c r="I677" s="92"/>
      <c r="J677" s="92"/>
      <c r="K677" s="92"/>
      <c r="L677" s="92"/>
    </row>
    <row r="678" spans="2:12" ht="9.75" customHeight="1" x14ac:dyDescent="0.25">
      <c r="B678" s="89"/>
      <c r="E678" s="94"/>
      <c r="F678" s="90"/>
      <c r="G678" s="90"/>
    </row>
    <row r="679" spans="2:12" ht="9.75" customHeight="1" x14ac:dyDescent="0.25">
      <c r="B679" s="89"/>
      <c r="E679" s="95"/>
      <c r="F679" s="91"/>
      <c r="G679" s="91"/>
      <c r="H679" s="92"/>
      <c r="I679" s="92"/>
      <c r="J679" s="92"/>
      <c r="K679" s="92"/>
      <c r="L679" s="92"/>
    </row>
    <row r="680" spans="2:12" ht="9.75" customHeight="1" x14ac:dyDescent="0.25">
      <c r="B680" s="89"/>
      <c r="E680" s="94"/>
      <c r="F680" s="90"/>
      <c r="G680" s="90"/>
    </row>
    <row r="681" spans="2:12" ht="9.75" customHeight="1" x14ac:dyDescent="0.25">
      <c r="E681" s="95"/>
      <c r="F681" s="91"/>
      <c r="G681" s="91"/>
      <c r="H681" s="92"/>
      <c r="I681" s="92"/>
      <c r="J681" s="92"/>
      <c r="K681" s="92"/>
      <c r="L681" s="92"/>
    </row>
    <row r="682" spans="2:12" ht="9.75" customHeight="1" x14ac:dyDescent="0.25">
      <c r="B682" s="93"/>
      <c r="E682" s="95"/>
      <c r="F682" s="91"/>
      <c r="G682" s="91"/>
      <c r="H682" s="92"/>
      <c r="I682" s="92"/>
      <c r="J682" s="92"/>
      <c r="K682" s="92"/>
    </row>
    <row r="683" spans="2:12" ht="9.75" customHeight="1" x14ac:dyDescent="0.25">
      <c r="B683" s="93"/>
      <c r="E683" s="95"/>
      <c r="F683" s="91"/>
      <c r="G683" s="91"/>
      <c r="H683" s="92"/>
      <c r="I683" s="92"/>
      <c r="J683" s="92"/>
      <c r="K683" s="92"/>
      <c r="L683" s="92"/>
    </row>
    <row r="684" spans="2:12" ht="9.75" customHeight="1" x14ac:dyDescent="0.25">
      <c r="B684" s="93"/>
      <c r="E684" s="95"/>
      <c r="F684" s="91"/>
      <c r="G684" s="91"/>
      <c r="H684" s="92"/>
      <c r="I684" s="92"/>
      <c r="J684" s="92"/>
      <c r="K684" s="92"/>
    </row>
    <row r="685" spans="2:12" ht="9.75" customHeight="1" x14ac:dyDescent="0.25">
      <c r="B685" s="93"/>
      <c r="E685" s="95"/>
      <c r="F685" s="91"/>
      <c r="G685" s="91"/>
      <c r="H685" s="92"/>
      <c r="I685" s="92"/>
      <c r="J685" s="92"/>
      <c r="K685" s="92"/>
    </row>
    <row r="686" spans="2:12" ht="9.75" customHeight="1" x14ac:dyDescent="0.25">
      <c r="B686" s="89"/>
      <c r="E686" s="95"/>
      <c r="F686" s="91"/>
      <c r="G686" s="91"/>
      <c r="H686" s="92"/>
      <c r="I686" s="92"/>
      <c r="J686" s="92"/>
      <c r="K686" s="92"/>
      <c r="L686" s="92"/>
    </row>
    <row r="687" spans="2:12" ht="9.75" customHeight="1" x14ac:dyDescent="0.25">
      <c r="B687" s="93"/>
      <c r="E687" s="95"/>
      <c r="F687" s="91"/>
      <c r="G687" s="91"/>
      <c r="H687" s="92"/>
      <c r="I687" s="92"/>
      <c r="J687" s="92"/>
      <c r="K687" s="92"/>
    </row>
    <row r="688" spans="2:12" ht="9.75" customHeight="1" x14ac:dyDescent="0.25">
      <c r="B688" s="89"/>
      <c r="E688" s="95"/>
      <c r="F688" s="91"/>
      <c r="G688" s="91"/>
      <c r="H688" s="92"/>
      <c r="I688" s="92"/>
      <c r="J688" s="92"/>
      <c r="K688" s="92"/>
      <c r="L688" s="92"/>
    </row>
    <row r="689" spans="2:12" ht="9.75" customHeight="1" x14ac:dyDescent="0.25">
      <c r="B689" s="89"/>
      <c r="E689" s="94"/>
      <c r="F689" s="90"/>
      <c r="G689" s="90"/>
    </row>
    <row r="690" spans="2:12" ht="9.75" customHeight="1" x14ac:dyDescent="0.25">
      <c r="B690" s="93"/>
      <c r="E690" s="95"/>
      <c r="F690" s="91"/>
      <c r="G690" s="91"/>
      <c r="H690" s="92"/>
      <c r="I690" s="92"/>
      <c r="J690" s="92"/>
      <c r="K690" s="92"/>
      <c r="L690" s="92"/>
    </row>
    <row r="691" spans="2:12" ht="9.75" customHeight="1" x14ac:dyDescent="0.25">
      <c r="B691" s="89"/>
      <c r="E691" s="94"/>
      <c r="F691" s="90"/>
      <c r="G691" s="90"/>
    </row>
    <row r="692" spans="2:12" ht="9.75" customHeight="1" x14ac:dyDescent="0.25">
      <c r="B692" s="93"/>
      <c r="E692" s="95"/>
      <c r="F692" s="91"/>
      <c r="G692" s="91"/>
      <c r="H692" s="92"/>
      <c r="I692" s="92"/>
      <c r="J692" s="92"/>
      <c r="K692" s="92"/>
      <c r="L692" s="92"/>
    </row>
    <row r="693" spans="2:12" ht="9.75" customHeight="1" x14ac:dyDescent="0.25">
      <c r="B693" s="89"/>
      <c r="E693" s="94"/>
      <c r="F693" s="90"/>
      <c r="G693" s="90"/>
    </row>
    <row r="694" spans="2:12" ht="9.75" customHeight="1" x14ac:dyDescent="0.25">
      <c r="B694" s="93"/>
      <c r="E694" s="95"/>
      <c r="F694" s="91"/>
      <c r="G694" s="91"/>
      <c r="H694" s="92"/>
      <c r="I694" s="92"/>
      <c r="J694" s="92"/>
      <c r="K694" s="92"/>
    </row>
    <row r="695" spans="2:12" ht="9.75" customHeight="1" x14ac:dyDescent="0.25">
      <c r="B695" s="89"/>
      <c r="E695" s="95"/>
      <c r="F695" s="91"/>
      <c r="G695" s="91"/>
      <c r="H695" s="92"/>
      <c r="I695" s="92"/>
      <c r="J695" s="92"/>
      <c r="K695" s="92"/>
      <c r="L695" s="92"/>
    </row>
    <row r="696" spans="2:12" ht="9.75" customHeight="1" x14ac:dyDescent="0.25">
      <c r="B696" s="93"/>
      <c r="E696" s="95"/>
      <c r="F696" s="91"/>
      <c r="G696" s="91"/>
      <c r="H696" s="92"/>
      <c r="I696" s="92"/>
      <c r="J696" s="92"/>
      <c r="K696" s="92"/>
    </row>
    <row r="697" spans="2:12" ht="9.75" customHeight="1" x14ac:dyDescent="0.25">
      <c r="B697" s="89"/>
      <c r="E697" s="95"/>
      <c r="F697" s="91"/>
      <c r="G697" s="91"/>
      <c r="H697" s="92"/>
      <c r="I697" s="92"/>
      <c r="J697" s="92"/>
      <c r="K697" s="92"/>
      <c r="L697" s="92"/>
    </row>
    <row r="698" spans="2:12" ht="9.75" customHeight="1" x14ac:dyDescent="0.25">
      <c r="B698" s="89"/>
      <c r="E698" s="94"/>
      <c r="F698" s="90"/>
      <c r="G698" s="90"/>
    </row>
    <row r="699" spans="2:12" ht="9.75" customHeight="1" x14ac:dyDescent="0.25">
      <c r="B699" s="93"/>
      <c r="E699" s="95"/>
      <c r="F699" s="91"/>
      <c r="G699" s="91"/>
      <c r="H699" s="92"/>
      <c r="I699" s="92"/>
      <c r="J699" s="92"/>
      <c r="K699" s="92"/>
      <c r="L699" s="92"/>
    </row>
    <row r="700" spans="2:12" ht="9.75" customHeight="1" x14ac:dyDescent="0.25">
      <c r="B700" s="89"/>
      <c r="E700" s="94"/>
      <c r="F700" s="90"/>
      <c r="G700" s="90"/>
    </row>
    <row r="701" spans="2:12" ht="9.75" customHeight="1" x14ac:dyDescent="0.25">
      <c r="B701" s="93"/>
      <c r="E701" s="95"/>
      <c r="F701" s="91"/>
      <c r="G701" s="91"/>
      <c r="H701" s="92"/>
      <c r="I701" s="92"/>
      <c r="J701" s="92"/>
      <c r="K701" s="92"/>
      <c r="L701" s="92"/>
    </row>
    <row r="702" spans="2:12" ht="9.75" customHeight="1" x14ac:dyDescent="0.25">
      <c r="B702" s="89"/>
      <c r="E702" s="94"/>
      <c r="F702" s="90"/>
      <c r="G702" s="90"/>
    </row>
    <row r="703" spans="2:12" ht="9.75" customHeight="1" x14ac:dyDescent="0.25">
      <c r="B703" s="93"/>
      <c r="E703" s="95"/>
      <c r="F703" s="91"/>
      <c r="G703" s="91"/>
      <c r="H703" s="92"/>
      <c r="I703" s="92"/>
      <c r="J703" s="92"/>
      <c r="K703" s="92"/>
      <c r="L703" s="92"/>
    </row>
    <row r="704" spans="2:12" ht="9.75" customHeight="1" x14ac:dyDescent="0.25">
      <c r="B704" s="89"/>
      <c r="E704" s="95"/>
      <c r="F704" s="91"/>
      <c r="G704" s="91"/>
      <c r="H704" s="92"/>
      <c r="I704" s="92"/>
      <c r="J704" s="92"/>
      <c r="K704" s="92"/>
      <c r="L704" s="92"/>
    </row>
    <row r="705" spans="2:12" ht="9.75" customHeight="1" x14ac:dyDescent="0.25">
      <c r="B705" s="93"/>
      <c r="E705" s="95"/>
      <c r="F705" s="91"/>
      <c r="G705" s="91"/>
      <c r="H705" s="92"/>
      <c r="I705" s="92"/>
      <c r="J705" s="92"/>
      <c r="K705" s="92"/>
    </row>
    <row r="706" spans="2:12" ht="9.75" customHeight="1" x14ac:dyDescent="0.25">
      <c r="B706" s="89"/>
    </row>
    <row r="707" spans="2:12" ht="9.75" customHeight="1" x14ac:dyDescent="0.25">
      <c r="B707" s="89"/>
      <c r="E707" s="95"/>
      <c r="F707" s="91"/>
      <c r="G707" s="91"/>
      <c r="H707" s="92"/>
      <c r="I707" s="92"/>
      <c r="J707" s="92"/>
      <c r="K707" s="92"/>
      <c r="L707" s="92"/>
    </row>
    <row r="708" spans="2:12" ht="9.75" customHeight="1" x14ac:dyDescent="0.25">
      <c r="B708" s="93"/>
      <c r="E708" s="95"/>
      <c r="F708" s="91"/>
      <c r="G708" s="91"/>
      <c r="H708" s="92"/>
      <c r="I708" s="92"/>
      <c r="J708" s="92"/>
      <c r="K708" s="92"/>
      <c r="L708" s="92"/>
    </row>
    <row r="709" spans="2:12" ht="9.75" customHeight="1" x14ac:dyDescent="0.25">
      <c r="B709" s="89"/>
      <c r="E709" s="95"/>
      <c r="F709" s="91"/>
      <c r="G709" s="91"/>
      <c r="H709" s="92"/>
      <c r="I709" s="92"/>
      <c r="J709" s="92"/>
      <c r="K709" s="92"/>
      <c r="L709" s="92"/>
    </row>
    <row r="710" spans="2:12" ht="9.75" customHeight="1" x14ac:dyDescent="0.25">
      <c r="B710" s="93"/>
      <c r="E710" s="95"/>
      <c r="F710" s="91"/>
      <c r="G710" s="91"/>
      <c r="H710" s="92"/>
      <c r="I710" s="92"/>
      <c r="J710" s="92"/>
      <c r="K710" s="92"/>
      <c r="L710" s="92"/>
    </row>
    <row r="711" spans="2:12" ht="9.75" customHeight="1" x14ac:dyDescent="0.25">
      <c r="B711" s="89"/>
      <c r="E711" s="95"/>
      <c r="F711" s="91"/>
      <c r="G711" s="91"/>
      <c r="H711" s="92"/>
      <c r="I711" s="92"/>
      <c r="J711" s="92"/>
      <c r="K711" s="92"/>
      <c r="L711" s="92"/>
    </row>
    <row r="712" spans="2:12" ht="9.75" customHeight="1" x14ac:dyDescent="0.25">
      <c r="B712" s="93"/>
      <c r="E712" s="95"/>
      <c r="F712" s="91"/>
      <c r="G712" s="91"/>
      <c r="H712" s="92"/>
      <c r="I712" s="92"/>
      <c r="J712" s="92"/>
      <c r="K712" s="92"/>
      <c r="L712" s="92"/>
    </row>
    <row r="713" spans="2:12" ht="9.75" customHeight="1" x14ac:dyDescent="0.25">
      <c r="B713" s="89"/>
      <c r="E713" s="94"/>
      <c r="F713" s="90"/>
      <c r="G713" s="90"/>
    </row>
    <row r="714" spans="2:12" ht="9.75" customHeight="1" x14ac:dyDescent="0.25">
      <c r="B714" s="93"/>
      <c r="E714" s="95"/>
      <c r="F714" s="91"/>
      <c r="G714" s="91"/>
      <c r="H714" s="92"/>
      <c r="I714" s="92"/>
      <c r="J714" s="92"/>
      <c r="K714" s="92"/>
      <c r="L714" s="92"/>
    </row>
    <row r="715" spans="2:12" ht="9.75" customHeight="1" x14ac:dyDescent="0.25">
      <c r="B715" s="89"/>
      <c r="E715" s="94"/>
      <c r="F715" s="90"/>
      <c r="G715" s="90"/>
    </row>
    <row r="716" spans="2:12" ht="9.75" customHeight="1" x14ac:dyDescent="0.25">
      <c r="B716" s="93"/>
      <c r="E716" s="95"/>
      <c r="F716" s="91"/>
      <c r="G716" s="91"/>
      <c r="H716" s="92"/>
      <c r="I716" s="92"/>
      <c r="J716" s="92"/>
      <c r="K716" s="92"/>
      <c r="L716" s="92"/>
    </row>
    <row r="717" spans="2:12" ht="9.75" customHeight="1" x14ac:dyDescent="0.25">
      <c r="B717" s="89"/>
      <c r="E717" s="94"/>
      <c r="F717" s="90"/>
      <c r="G717" s="90"/>
    </row>
    <row r="718" spans="2:12" ht="9.75" customHeight="1" x14ac:dyDescent="0.25">
      <c r="B718" s="93"/>
      <c r="E718" s="95"/>
      <c r="F718" s="91"/>
      <c r="G718" s="91"/>
      <c r="H718" s="92"/>
      <c r="I718" s="92"/>
      <c r="J718" s="92"/>
      <c r="K718" s="92"/>
      <c r="L718" s="92"/>
    </row>
    <row r="719" spans="2:12" ht="9.75" customHeight="1" x14ac:dyDescent="0.25">
      <c r="B719" s="93"/>
      <c r="E719" s="95"/>
      <c r="F719" s="91"/>
      <c r="G719" s="91"/>
      <c r="H719" s="92"/>
      <c r="I719" s="92"/>
      <c r="J719" s="92"/>
      <c r="K719" s="92"/>
    </row>
    <row r="720" spans="2:12" ht="9.75" customHeight="1" x14ac:dyDescent="0.25">
      <c r="B720" s="89"/>
      <c r="E720" s="95"/>
      <c r="F720" s="91"/>
      <c r="G720" s="91"/>
      <c r="H720" s="92"/>
      <c r="I720" s="92"/>
      <c r="J720" s="92"/>
      <c r="K720" s="92"/>
      <c r="L720" s="92"/>
    </row>
    <row r="721" spans="2:12" ht="9.75" customHeight="1" x14ac:dyDescent="0.25">
      <c r="E721" s="94"/>
      <c r="F721" s="90"/>
      <c r="G721" s="90"/>
    </row>
    <row r="722" spans="2:12" ht="9.75" customHeight="1" x14ac:dyDescent="0.25">
      <c r="B722" s="93"/>
      <c r="E722" s="95"/>
      <c r="F722" s="91"/>
      <c r="G722" s="91"/>
      <c r="H722" s="92"/>
      <c r="I722" s="92"/>
      <c r="J722" s="92"/>
      <c r="K722" s="92"/>
      <c r="L722" s="92"/>
    </row>
    <row r="723" spans="2:12" ht="9.75" customHeight="1" x14ac:dyDescent="0.25">
      <c r="B723" s="93"/>
      <c r="E723" s="95"/>
      <c r="F723" s="91"/>
      <c r="G723" s="91"/>
      <c r="H723" s="92"/>
      <c r="I723" s="92"/>
      <c r="J723" s="92"/>
      <c r="K723" s="92"/>
    </row>
    <row r="724" spans="2:12" ht="9.75" customHeight="1" x14ac:dyDescent="0.25">
      <c r="B724" s="93"/>
      <c r="E724" s="95"/>
      <c r="F724" s="91"/>
      <c r="G724" s="91"/>
      <c r="H724" s="92"/>
      <c r="I724" s="92"/>
      <c r="J724" s="92"/>
      <c r="K724" s="92"/>
      <c r="L724" s="92"/>
    </row>
    <row r="725" spans="2:12" ht="9.75" customHeight="1" x14ac:dyDescent="0.25">
      <c r="B725" s="93"/>
      <c r="E725" s="95"/>
      <c r="F725" s="91"/>
      <c r="G725" s="91"/>
      <c r="H725" s="92"/>
      <c r="I725" s="92"/>
      <c r="J725" s="92"/>
      <c r="K725" s="92"/>
    </row>
    <row r="726" spans="2:12" ht="9.75" customHeight="1" x14ac:dyDescent="0.25">
      <c r="B726" s="93"/>
      <c r="E726" s="95"/>
      <c r="F726" s="91"/>
      <c r="G726" s="91"/>
      <c r="H726" s="92"/>
      <c r="I726" s="92"/>
      <c r="J726" s="92"/>
      <c r="K726" s="92"/>
    </row>
    <row r="727" spans="2:12" ht="9.75" customHeight="1" x14ac:dyDescent="0.25">
      <c r="B727" s="93"/>
      <c r="E727" s="95"/>
      <c r="F727" s="91"/>
      <c r="G727" s="91"/>
      <c r="H727" s="92"/>
      <c r="I727" s="92"/>
      <c r="J727" s="92"/>
      <c r="K727" s="92"/>
    </row>
    <row r="728" spans="2:12" ht="9.75" customHeight="1" x14ac:dyDescent="0.25">
      <c r="B728" s="89"/>
      <c r="E728" s="95"/>
      <c r="F728" s="91"/>
      <c r="G728" s="91"/>
      <c r="H728" s="92"/>
      <c r="I728" s="92"/>
      <c r="J728" s="92"/>
      <c r="K728" s="92"/>
      <c r="L728" s="92"/>
    </row>
    <row r="729" spans="2:12" ht="9.75" customHeight="1" x14ac:dyDescent="0.25">
      <c r="B729" s="93"/>
      <c r="E729" s="95"/>
      <c r="F729" s="91"/>
      <c r="G729" s="91"/>
      <c r="H729" s="92"/>
      <c r="I729" s="92"/>
      <c r="J729" s="92"/>
      <c r="K729" s="92"/>
      <c r="L729" s="92"/>
    </row>
    <row r="730" spans="2:12" ht="9.75" customHeight="1" x14ac:dyDescent="0.25">
      <c r="B730" s="89"/>
      <c r="E730" s="94"/>
      <c r="F730" s="90"/>
      <c r="G730" s="90"/>
    </row>
    <row r="731" spans="2:12" ht="9.75" customHeight="1" x14ac:dyDescent="0.25">
      <c r="B731" s="93"/>
      <c r="E731" s="95"/>
      <c r="F731" s="91"/>
      <c r="G731" s="91"/>
      <c r="H731" s="92"/>
      <c r="I731" s="92"/>
      <c r="J731" s="92"/>
      <c r="K731" s="92"/>
      <c r="L731" s="92"/>
    </row>
    <row r="732" spans="2:12" ht="9.75" customHeight="1" x14ac:dyDescent="0.25">
      <c r="B732" s="89"/>
      <c r="E732" s="94"/>
      <c r="F732" s="90"/>
      <c r="G732" s="90"/>
    </row>
    <row r="733" spans="2:12" ht="9.75" customHeight="1" x14ac:dyDescent="0.25">
      <c r="B733" s="93"/>
      <c r="E733" s="95"/>
      <c r="F733" s="91"/>
      <c r="G733" s="91"/>
      <c r="H733" s="92"/>
      <c r="I733" s="92"/>
      <c r="J733" s="92"/>
      <c r="K733" s="92"/>
      <c r="L733" s="92"/>
    </row>
    <row r="734" spans="2:12" ht="9.75" customHeight="1" x14ac:dyDescent="0.25">
      <c r="B734" s="89"/>
      <c r="E734" s="94"/>
      <c r="F734" s="90"/>
      <c r="G734" s="90"/>
    </row>
    <row r="735" spans="2:12" ht="9.75" customHeight="1" x14ac:dyDescent="0.25">
      <c r="B735" s="93"/>
      <c r="E735" s="95"/>
      <c r="F735" s="91"/>
      <c r="G735" s="91"/>
      <c r="H735" s="92"/>
      <c r="I735" s="92"/>
      <c r="J735" s="92"/>
      <c r="K735" s="92"/>
    </row>
    <row r="736" spans="2:12" ht="9.75" customHeight="1" x14ac:dyDescent="0.25">
      <c r="B736" s="89"/>
      <c r="E736" s="94"/>
      <c r="F736" s="90"/>
      <c r="G736" s="90"/>
    </row>
    <row r="737" spans="2:12" ht="9.75" customHeight="1" x14ac:dyDescent="0.25">
      <c r="B737" s="93"/>
      <c r="E737" s="95"/>
      <c r="F737" s="91"/>
      <c r="G737" s="91"/>
      <c r="H737" s="92"/>
      <c r="I737" s="92"/>
      <c r="J737" s="92"/>
      <c r="K737" s="92"/>
      <c r="L737" s="92"/>
    </row>
    <row r="738" spans="2:12" ht="9.75" customHeight="1" x14ac:dyDescent="0.25">
      <c r="B738" s="89"/>
      <c r="E738" s="95"/>
      <c r="F738" s="91"/>
      <c r="G738" s="91"/>
      <c r="H738" s="92"/>
      <c r="I738" s="92"/>
      <c r="J738" s="92"/>
      <c r="K738" s="92"/>
      <c r="L738" s="92"/>
    </row>
    <row r="739" spans="2:12" ht="9.75" customHeight="1" x14ac:dyDescent="0.25">
      <c r="B739" s="93"/>
      <c r="E739" s="95"/>
      <c r="F739" s="91"/>
      <c r="G739" s="91"/>
      <c r="H739" s="92"/>
      <c r="I739" s="92"/>
      <c r="J739" s="92"/>
      <c r="K739" s="92"/>
    </row>
    <row r="740" spans="2:12" ht="9.75" customHeight="1" x14ac:dyDescent="0.25">
      <c r="B740" s="89"/>
      <c r="E740" s="95"/>
      <c r="F740" s="91"/>
      <c r="G740" s="91"/>
      <c r="H740" s="92"/>
      <c r="I740" s="92"/>
      <c r="J740" s="92"/>
      <c r="K740" s="92"/>
      <c r="L740" s="92"/>
    </row>
    <row r="741" spans="2:12" ht="9.75" customHeight="1" x14ac:dyDescent="0.25">
      <c r="B741" s="89"/>
      <c r="E741" s="94"/>
      <c r="F741" s="90"/>
      <c r="G741" s="90"/>
    </row>
    <row r="742" spans="2:12" ht="9.75" customHeight="1" x14ac:dyDescent="0.25">
      <c r="B742" s="89"/>
      <c r="E742" s="95"/>
      <c r="F742" s="91"/>
      <c r="G742" s="91"/>
      <c r="H742" s="92"/>
      <c r="I742" s="92"/>
      <c r="J742" s="92"/>
      <c r="K742" s="92"/>
      <c r="L742" s="92"/>
    </row>
    <row r="743" spans="2:12" ht="9.75" customHeight="1" x14ac:dyDescent="0.25">
      <c r="B743" s="93"/>
      <c r="E743" s="95"/>
      <c r="F743" s="91"/>
      <c r="G743" s="91"/>
      <c r="H743" s="92"/>
      <c r="I743" s="92"/>
      <c r="J743" s="92"/>
      <c r="K743" s="92"/>
    </row>
    <row r="744" spans="2:12" ht="9.75" customHeight="1" x14ac:dyDescent="0.25">
      <c r="B744" s="93"/>
      <c r="E744" s="95"/>
      <c r="F744" s="91"/>
      <c r="G744" s="91"/>
      <c r="H744" s="92"/>
      <c r="I744" s="92"/>
      <c r="J744" s="92"/>
      <c r="K744" s="92"/>
      <c r="L744" s="92"/>
    </row>
    <row r="745" spans="2:12" ht="9.75" customHeight="1" x14ac:dyDescent="0.25">
      <c r="B745" s="89"/>
      <c r="E745" s="94"/>
      <c r="F745" s="90"/>
      <c r="G745" s="90"/>
    </row>
    <row r="746" spans="2:12" ht="9.75" customHeight="1" x14ac:dyDescent="0.25">
      <c r="B746" s="93"/>
      <c r="E746" s="95"/>
      <c r="F746" s="91"/>
      <c r="G746" s="91"/>
      <c r="H746" s="92"/>
      <c r="I746" s="92"/>
      <c r="J746" s="92"/>
      <c r="K746" s="92"/>
      <c r="L746" s="92"/>
    </row>
    <row r="747" spans="2:12" ht="9.75" customHeight="1" x14ac:dyDescent="0.25">
      <c r="B747" s="89"/>
      <c r="E747" s="94"/>
      <c r="F747" s="90"/>
      <c r="G747" s="90"/>
    </row>
    <row r="748" spans="2:12" ht="9.75" customHeight="1" x14ac:dyDescent="0.25">
      <c r="B748" s="93"/>
      <c r="E748" s="95"/>
      <c r="F748" s="91"/>
      <c r="G748" s="91"/>
      <c r="H748" s="92"/>
      <c r="I748" s="92"/>
      <c r="J748" s="92"/>
      <c r="K748" s="92"/>
      <c r="L748" s="92"/>
    </row>
    <row r="749" spans="2:12" ht="9.75" customHeight="1" x14ac:dyDescent="0.25">
      <c r="B749" s="89"/>
      <c r="E749" s="94"/>
      <c r="F749" s="90"/>
      <c r="G749" s="90"/>
    </row>
    <row r="750" spans="2:12" ht="9.75" customHeight="1" x14ac:dyDescent="0.25">
      <c r="B750" s="89"/>
      <c r="E750" s="95"/>
      <c r="F750" s="91"/>
      <c r="G750" s="91"/>
      <c r="H750" s="92"/>
      <c r="I750" s="92"/>
      <c r="J750" s="92"/>
      <c r="K750" s="92"/>
      <c r="L750" s="92"/>
    </row>
    <row r="751" spans="2:12" ht="9.75" customHeight="1" x14ac:dyDescent="0.25">
      <c r="B751" s="89"/>
      <c r="E751" s="94"/>
      <c r="F751" s="90"/>
      <c r="G751" s="90"/>
    </row>
    <row r="752" spans="2:12" ht="9.75" customHeight="1" x14ac:dyDescent="0.25">
      <c r="B752" s="93"/>
      <c r="E752" s="95"/>
      <c r="F752" s="91"/>
      <c r="G752" s="91"/>
      <c r="H752" s="92"/>
      <c r="I752" s="92"/>
      <c r="J752" s="92"/>
      <c r="K752" s="92"/>
      <c r="L752" s="92"/>
    </row>
    <row r="753" spans="2:12" ht="9.75" customHeight="1" x14ac:dyDescent="0.25">
      <c r="B753" s="93"/>
      <c r="E753" s="95"/>
      <c r="F753" s="91"/>
      <c r="G753" s="91"/>
      <c r="H753" s="92"/>
      <c r="I753" s="92"/>
      <c r="J753" s="92"/>
      <c r="K753" s="92"/>
    </row>
    <row r="754" spans="2:12" ht="9.75" customHeight="1" x14ac:dyDescent="0.25">
      <c r="B754" s="89"/>
      <c r="E754" s="94"/>
      <c r="F754" s="90"/>
      <c r="G754" s="90"/>
    </row>
    <row r="755" spans="2:12" ht="9.75" customHeight="1" x14ac:dyDescent="0.25">
      <c r="B755" s="93"/>
      <c r="E755" s="95"/>
      <c r="F755" s="91"/>
      <c r="G755" s="91"/>
      <c r="H755" s="92"/>
      <c r="I755" s="92"/>
      <c r="J755" s="92"/>
      <c r="K755" s="92"/>
    </row>
    <row r="756" spans="2:12" ht="9.75" customHeight="1" x14ac:dyDescent="0.25">
      <c r="B756" s="89"/>
    </row>
    <row r="757" spans="2:12" ht="9.75" customHeight="1" x14ac:dyDescent="0.25">
      <c r="B757" s="93"/>
      <c r="E757" s="95"/>
      <c r="F757" s="91"/>
      <c r="G757" s="91"/>
      <c r="H757" s="92"/>
      <c r="I757" s="92"/>
      <c r="J757" s="92"/>
      <c r="K757" s="92"/>
      <c r="L757" s="92"/>
    </row>
    <row r="758" spans="2:12" ht="9.75" customHeight="1" x14ac:dyDescent="0.25">
      <c r="B758" s="89"/>
      <c r="E758" s="95"/>
      <c r="F758" s="91"/>
      <c r="G758" s="91"/>
      <c r="H758" s="92"/>
      <c r="I758" s="92"/>
      <c r="J758" s="92"/>
      <c r="K758" s="92"/>
      <c r="L758" s="92"/>
    </row>
    <row r="759" spans="2:12" ht="9.75" customHeight="1" x14ac:dyDescent="0.25">
      <c r="B759" s="93"/>
      <c r="E759" s="95"/>
      <c r="F759" s="91"/>
      <c r="G759" s="91"/>
      <c r="H759" s="92"/>
      <c r="I759" s="92"/>
      <c r="J759" s="92"/>
      <c r="K759" s="92"/>
      <c r="L759" s="92"/>
    </row>
    <row r="760" spans="2:12" ht="9.75" customHeight="1" x14ac:dyDescent="0.25">
      <c r="B760" s="89"/>
      <c r="E760" s="95"/>
      <c r="F760" s="91"/>
      <c r="G760" s="91"/>
      <c r="H760" s="92"/>
      <c r="I760" s="92"/>
      <c r="J760" s="92"/>
      <c r="K760" s="92"/>
      <c r="L760" s="92"/>
    </row>
    <row r="761" spans="2:12" ht="9.75" customHeight="1" x14ac:dyDescent="0.25">
      <c r="B761" s="93"/>
      <c r="E761" s="95"/>
      <c r="F761" s="91"/>
      <c r="G761" s="91"/>
      <c r="H761" s="92"/>
      <c r="I761" s="92"/>
      <c r="J761" s="92"/>
      <c r="K761" s="92"/>
    </row>
    <row r="762" spans="2:12" ht="9.75" customHeight="1" x14ac:dyDescent="0.25">
      <c r="B762" s="89"/>
    </row>
    <row r="763" spans="2:12" ht="9.75" customHeight="1" x14ac:dyDescent="0.25">
      <c r="B763" s="93"/>
      <c r="E763" s="95"/>
      <c r="F763" s="91"/>
      <c r="G763" s="91"/>
      <c r="H763" s="92"/>
      <c r="I763" s="92"/>
      <c r="J763" s="92"/>
      <c r="K763" s="92"/>
      <c r="L763" s="92"/>
    </row>
    <row r="764" spans="2:12" ht="9.75" customHeight="1" x14ac:dyDescent="0.25">
      <c r="B764" s="89"/>
      <c r="E764" s="95"/>
      <c r="F764" s="91"/>
      <c r="G764" s="91"/>
      <c r="H764" s="92"/>
      <c r="I764" s="92"/>
      <c r="J764" s="92"/>
      <c r="K764" s="92"/>
      <c r="L764" s="92"/>
    </row>
    <row r="765" spans="2:12" ht="9.75" customHeight="1" x14ac:dyDescent="0.25">
      <c r="B765" s="93"/>
      <c r="E765" s="95"/>
      <c r="F765" s="91"/>
      <c r="G765" s="91"/>
      <c r="H765" s="92"/>
      <c r="I765" s="92"/>
      <c r="J765" s="92"/>
      <c r="K765" s="92"/>
      <c r="L765" s="92"/>
    </row>
    <row r="766" spans="2:12" ht="9.75" customHeight="1" x14ac:dyDescent="0.25">
      <c r="B766" s="89"/>
      <c r="E766" s="95"/>
      <c r="F766" s="91"/>
      <c r="G766" s="91"/>
      <c r="H766" s="92"/>
      <c r="I766" s="92"/>
      <c r="J766" s="92"/>
      <c r="K766" s="92"/>
      <c r="L766" s="92"/>
    </row>
    <row r="767" spans="2:12" ht="9.75" customHeight="1" x14ac:dyDescent="0.25">
      <c r="B767" s="93"/>
      <c r="E767" s="95"/>
      <c r="F767" s="91"/>
      <c r="G767" s="91"/>
      <c r="H767" s="92"/>
      <c r="I767" s="92"/>
      <c r="J767" s="92"/>
      <c r="K767" s="92"/>
    </row>
    <row r="768" spans="2:12" ht="9.75" customHeight="1" x14ac:dyDescent="0.25">
      <c r="B768" s="89"/>
    </row>
    <row r="769" spans="2:12" ht="9.75" customHeight="1" x14ac:dyDescent="0.25">
      <c r="B769" s="89"/>
      <c r="E769" s="95"/>
      <c r="F769" s="91"/>
      <c r="G769" s="91"/>
      <c r="H769" s="92"/>
      <c r="I769" s="92"/>
      <c r="J769" s="92"/>
      <c r="K769" s="92"/>
      <c r="L769" s="92"/>
    </row>
    <row r="770" spans="2:12" ht="9.75" customHeight="1" x14ac:dyDescent="0.25">
      <c r="B770" s="89"/>
      <c r="E770" s="95"/>
      <c r="F770" s="91"/>
      <c r="G770" s="91"/>
      <c r="H770" s="92"/>
      <c r="I770" s="92"/>
      <c r="J770" s="92"/>
      <c r="K770" s="92"/>
      <c r="L770" s="92"/>
    </row>
    <row r="771" spans="2:12" ht="9.75" customHeight="1" x14ac:dyDescent="0.25">
      <c r="E771" s="95"/>
      <c r="F771" s="91"/>
      <c r="G771" s="91"/>
      <c r="H771" s="92"/>
      <c r="I771" s="92"/>
      <c r="J771" s="92"/>
      <c r="K771" s="92"/>
      <c r="L771" s="92"/>
    </row>
    <row r="772" spans="2:12" ht="9.75" customHeight="1" x14ac:dyDescent="0.25">
      <c r="B772" s="93"/>
      <c r="E772" s="95"/>
      <c r="F772" s="91"/>
      <c r="G772" s="91"/>
      <c r="H772" s="92"/>
      <c r="I772" s="92"/>
      <c r="J772" s="92"/>
      <c r="K772" s="92"/>
      <c r="L772" s="92"/>
    </row>
    <row r="773" spans="2:12" ht="9.75" customHeight="1" x14ac:dyDescent="0.25">
      <c r="B773" s="93"/>
      <c r="E773" s="95"/>
      <c r="F773" s="91"/>
      <c r="G773" s="91"/>
      <c r="H773" s="92"/>
      <c r="I773" s="92"/>
      <c r="J773" s="92"/>
      <c r="K773" s="92"/>
      <c r="L773" s="92"/>
    </row>
    <row r="774" spans="2:12" ht="9.75" customHeight="1" x14ac:dyDescent="0.25">
      <c r="B774" s="93"/>
      <c r="E774" s="95"/>
      <c r="F774" s="91"/>
      <c r="G774" s="91"/>
      <c r="H774" s="92"/>
      <c r="I774" s="92"/>
      <c r="J774" s="92"/>
      <c r="K774" s="92"/>
      <c r="L774" s="92"/>
    </row>
    <row r="775" spans="2:12" ht="9.75" customHeight="1" x14ac:dyDescent="0.25">
      <c r="B775" s="93"/>
      <c r="E775" s="95"/>
      <c r="F775" s="91"/>
      <c r="G775" s="91"/>
      <c r="H775" s="92"/>
      <c r="I775" s="92"/>
      <c r="J775" s="92"/>
      <c r="K775" s="92"/>
    </row>
    <row r="776" spans="2:12" ht="9.75" customHeight="1" x14ac:dyDescent="0.25">
      <c r="B776" s="89"/>
      <c r="E776" s="94"/>
      <c r="F776" s="90"/>
      <c r="G776" s="90"/>
    </row>
    <row r="777" spans="2:12" ht="9.75" customHeight="1" x14ac:dyDescent="0.25">
      <c r="E777" s="94"/>
      <c r="F777" s="90"/>
      <c r="G777" s="90"/>
    </row>
    <row r="778" spans="2:12" ht="9.75" customHeight="1" x14ac:dyDescent="0.25">
      <c r="B778" s="93"/>
      <c r="E778" s="95"/>
      <c r="F778" s="91"/>
      <c r="G778" s="91"/>
      <c r="H778" s="92"/>
      <c r="I778" s="92"/>
      <c r="J778" s="92"/>
      <c r="K778" s="92"/>
    </row>
    <row r="779" spans="2:12" ht="9.75" customHeight="1" x14ac:dyDescent="0.25">
      <c r="B779" s="93"/>
      <c r="E779" s="95"/>
      <c r="F779" s="91"/>
      <c r="G779" s="91"/>
      <c r="H779" s="92"/>
      <c r="I779" s="92"/>
      <c r="J779" s="92"/>
      <c r="K779" s="92"/>
    </row>
    <row r="780" spans="2:12" ht="9.75" customHeight="1" x14ac:dyDescent="0.25">
      <c r="B780" s="93"/>
      <c r="E780" s="95"/>
      <c r="F780" s="91"/>
      <c r="G780" s="91"/>
      <c r="H780" s="92"/>
      <c r="I780" s="92"/>
      <c r="J780" s="92"/>
      <c r="K780" s="92"/>
    </row>
    <row r="781" spans="2:12" ht="9.75" customHeight="1" x14ac:dyDescent="0.25">
      <c r="B781" s="93"/>
      <c r="E781" s="95"/>
      <c r="F781" s="91"/>
      <c r="G781" s="91"/>
      <c r="H781" s="92"/>
      <c r="I781" s="92"/>
      <c r="J781" s="92"/>
      <c r="K781" s="92"/>
      <c r="L781" s="92"/>
    </row>
    <row r="782" spans="2:12" ht="9.75" customHeight="1" x14ac:dyDescent="0.25">
      <c r="B782" s="89"/>
      <c r="E782" s="94"/>
      <c r="F782" s="90"/>
      <c r="G782" s="90"/>
    </row>
    <row r="783" spans="2:12" ht="9.75" customHeight="1" x14ac:dyDescent="0.25">
      <c r="E783" s="94"/>
      <c r="F783" s="90"/>
      <c r="G783" s="90"/>
    </row>
    <row r="784" spans="2:12" ht="9.75" customHeight="1" x14ac:dyDescent="0.25">
      <c r="B784" s="93"/>
      <c r="E784" s="95"/>
      <c r="F784" s="91"/>
      <c r="G784" s="91"/>
      <c r="H784" s="92"/>
      <c r="I784" s="92"/>
      <c r="J784" s="92"/>
      <c r="K784" s="92"/>
    </row>
    <row r="785" spans="2:12" ht="9.75" customHeight="1" x14ac:dyDescent="0.25">
      <c r="B785" s="93"/>
      <c r="E785" s="95"/>
      <c r="F785" s="91"/>
      <c r="G785" s="91"/>
      <c r="H785" s="92"/>
      <c r="I785" s="92"/>
      <c r="J785" s="92"/>
      <c r="K785" s="92"/>
      <c r="L785" s="92"/>
    </row>
    <row r="786" spans="2:12" ht="9.75" customHeight="1" x14ac:dyDescent="0.25">
      <c r="B786" s="93"/>
      <c r="E786" s="95"/>
      <c r="F786" s="91"/>
      <c r="G786" s="91"/>
      <c r="H786" s="92"/>
      <c r="I786" s="92"/>
      <c r="J786" s="92"/>
      <c r="K786" s="92"/>
    </row>
    <row r="787" spans="2:12" ht="9.75" customHeight="1" x14ac:dyDescent="0.25">
      <c r="B787" s="93"/>
      <c r="E787" s="95"/>
      <c r="F787" s="91"/>
      <c r="G787" s="91"/>
      <c r="H787" s="92"/>
      <c r="I787" s="92"/>
      <c r="J787" s="92"/>
      <c r="K787" s="92"/>
    </row>
    <row r="788" spans="2:12" ht="9.75" customHeight="1" x14ac:dyDescent="0.25">
      <c r="B788" s="93"/>
      <c r="E788" s="95"/>
      <c r="F788" s="91"/>
      <c r="G788" s="91"/>
      <c r="H788" s="92"/>
      <c r="I788" s="92"/>
      <c r="J788" s="92"/>
      <c r="K788" s="92"/>
    </row>
    <row r="789" spans="2:12" ht="9.75" customHeight="1" x14ac:dyDescent="0.25">
      <c r="B789" s="93"/>
      <c r="E789" s="95"/>
      <c r="F789" s="91"/>
      <c r="G789" s="91"/>
      <c r="H789" s="92"/>
      <c r="I789" s="92"/>
      <c r="J789" s="92"/>
      <c r="K789" s="92"/>
    </row>
    <row r="790" spans="2:12" ht="9.75" customHeight="1" x14ac:dyDescent="0.25">
      <c r="B790" s="89"/>
      <c r="E790" s="94"/>
      <c r="F790" s="90"/>
      <c r="G790" s="90"/>
    </row>
    <row r="791" spans="2:12" ht="9.75" customHeight="1" x14ac:dyDescent="0.25">
      <c r="B791" s="89"/>
      <c r="E791" s="94"/>
      <c r="F791" s="90"/>
      <c r="G791" s="90"/>
    </row>
    <row r="792" spans="2:12" ht="9.75" customHeight="1" x14ac:dyDescent="0.25">
      <c r="B792" s="89"/>
      <c r="E792" s="95"/>
      <c r="F792" s="91"/>
      <c r="G792" s="91"/>
      <c r="H792" s="92"/>
      <c r="I792" s="92"/>
      <c r="J792" s="92"/>
      <c r="K792" s="92"/>
      <c r="L792" s="92"/>
    </row>
    <row r="793" spans="2:12" ht="9.75" customHeight="1" x14ac:dyDescent="0.25">
      <c r="B793" s="89"/>
      <c r="E793" s="95"/>
      <c r="F793" s="91"/>
      <c r="G793" s="91"/>
      <c r="H793" s="92"/>
      <c r="I793" s="92"/>
      <c r="J793" s="92"/>
      <c r="K793" s="92"/>
      <c r="L793" s="92"/>
    </row>
    <row r="794" spans="2:12" ht="9.75" customHeight="1" x14ac:dyDescent="0.25">
      <c r="B794" s="89"/>
      <c r="E794" s="94"/>
      <c r="F794" s="90"/>
      <c r="G794" s="90"/>
    </row>
    <row r="795" spans="2:12" ht="9.75" customHeight="1" x14ac:dyDescent="0.25">
      <c r="B795" s="89"/>
      <c r="E795" s="94"/>
      <c r="F795" s="90"/>
      <c r="G795" s="90"/>
    </row>
    <row r="796" spans="2:12" ht="9.75" customHeight="1" x14ac:dyDescent="0.25">
      <c r="B796" s="93"/>
      <c r="E796" s="95"/>
      <c r="F796" s="91"/>
      <c r="G796" s="91"/>
      <c r="H796" s="92"/>
      <c r="I796" s="92"/>
      <c r="J796" s="92"/>
      <c r="K796" s="92"/>
    </row>
    <row r="797" spans="2:12" ht="9.75" customHeight="1" x14ac:dyDescent="0.25">
      <c r="B797" s="89"/>
      <c r="E797" s="94"/>
      <c r="F797" s="90"/>
      <c r="G797" s="90"/>
    </row>
    <row r="798" spans="2:12" ht="9.75" customHeight="1" x14ac:dyDescent="0.25">
      <c r="B798" s="89"/>
      <c r="E798" s="94"/>
      <c r="F798" s="90"/>
      <c r="G798" s="90"/>
    </row>
    <row r="799" spans="2:12" ht="9.75" customHeight="1" x14ac:dyDescent="0.25">
      <c r="B799" s="89"/>
      <c r="E799" s="94"/>
      <c r="F799" s="90"/>
      <c r="G799" s="90"/>
    </row>
    <row r="800" spans="2:12" ht="9.75" customHeight="1" x14ac:dyDescent="0.25">
      <c r="B800" s="93"/>
      <c r="E800" s="95"/>
      <c r="F800" s="91"/>
      <c r="G800" s="91"/>
      <c r="H800" s="92"/>
      <c r="I800" s="92"/>
      <c r="J800" s="92"/>
      <c r="K800" s="92"/>
      <c r="L800" s="92"/>
    </row>
    <row r="801" spans="2:12" ht="9.75" customHeight="1" x14ac:dyDescent="0.25">
      <c r="B801" s="89"/>
      <c r="E801" s="94"/>
      <c r="F801" s="90"/>
      <c r="G801" s="90"/>
    </row>
    <row r="802" spans="2:12" ht="9.75" customHeight="1" x14ac:dyDescent="0.25">
      <c r="B802" s="89"/>
      <c r="E802" s="94"/>
      <c r="F802" s="90"/>
      <c r="G802" s="90"/>
    </row>
    <row r="803" spans="2:12" ht="9.75" customHeight="1" x14ac:dyDescent="0.25">
      <c r="B803" s="89"/>
      <c r="E803" s="95"/>
      <c r="F803" s="91"/>
      <c r="G803" s="91"/>
      <c r="H803" s="92"/>
      <c r="I803" s="92"/>
      <c r="J803" s="92"/>
      <c r="K803" s="92"/>
      <c r="L803" s="92"/>
    </row>
    <row r="804" spans="2:12" ht="9.75" customHeight="1" x14ac:dyDescent="0.25">
      <c r="B804" s="89"/>
      <c r="E804" s="94"/>
      <c r="F804" s="90"/>
      <c r="G804" s="90"/>
    </row>
    <row r="805" spans="2:12" ht="9.75" customHeight="1" x14ac:dyDescent="0.25">
      <c r="B805" s="89"/>
      <c r="E805" s="94"/>
      <c r="F805" s="90"/>
      <c r="G805" s="90"/>
    </row>
    <row r="806" spans="2:12" ht="9.75" customHeight="1" x14ac:dyDescent="0.25">
      <c r="B806" s="89"/>
      <c r="E806" s="95"/>
      <c r="F806" s="91"/>
      <c r="G806" s="91"/>
      <c r="H806" s="92"/>
      <c r="I806" s="92"/>
      <c r="J806" s="92"/>
      <c r="K806" s="92"/>
      <c r="L806" s="92"/>
    </row>
    <row r="807" spans="2:12" ht="9.75" customHeight="1" x14ac:dyDescent="0.25">
      <c r="B807" s="93"/>
      <c r="E807" s="95"/>
      <c r="F807" s="91"/>
      <c r="G807" s="91"/>
      <c r="H807" s="92"/>
      <c r="I807" s="92"/>
      <c r="J807" s="92"/>
      <c r="K807" s="92"/>
      <c r="L807" s="92"/>
    </row>
    <row r="808" spans="2:12" ht="9.75" customHeight="1" x14ac:dyDescent="0.25">
      <c r="B808" s="93"/>
      <c r="E808" s="95"/>
      <c r="F808" s="91"/>
      <c r="G808" s="91"/>
      <c r="H808" s="92"/>
      <c r="I808" s="92"/>
      <c r="J808" s="92"/>
      <c r="K808" s="92"/>
    </row>
    <row r="809" spans="2:12" ht="9.75" customHeight="1" x14ac:dyDescent="0.25">
      <c r="B809" s="89"/>
    </row>
    <row r="810" spans="2:12" ht="9.75" customHeight="1" x14ac:dyDescent="0.25">
      <c r="B810" s="89"/>
      <c r="E810" s="95"/>
      <c r="F810" s="91"/>
      <c r="G810" s="91"/>
      <c r="H810" s="92"/>
      <c r="I810" s="92"/>
      <c r="J810" s="92"/>
      <c r="K810" s="92"/>
      <c r="L810" s="92"/>
    </row>
    <row r="811" spans="2:12" ht="9.75" customHeight="1" x14ac:dyDescent="0.25">
      <c r="B811" s="89"/>
      <c r="E811" s="95"/>
      <c r="F811" s="91"/>
      <c r="G811" s="91"/>
      <c r="H811" s="92"/>
      <c r="I811" s="92"/>
      <c r="J811" s="92"/>
      <c r="K811" s="92"/>
      <c r="L811" s="92"/>
    </row>
    <row r="812" spans="2:12" ht="9.75" customHeight="1" x14ac:dyDescent="0.25">
      <c r="B812" s="89"/>
      <c r="E812" s="95"/>
      <c r="F812" s="91"/>
      <c r="G812" s="91"/>
      <c r="H812" s="92"/>
      <c r="I812" s="92"/>
      <c r="J812" s="92"/>
      <c r="K812" s="92"/>
      <c r="L812" s="92"/>
    </row>
    <row r="813" spans="2:12" ht="9.75" customHeight="1" x14ac:dyDescent="0.25">
      <c r="B813" s="89"/>
      <c r="E813" s="95"/>
      <c r="F813" s="91"/>
      <c r="G813" s="91"/>
      <c r="H813" s="92"/>
      <c r="I813" s="92"/>
      <c r="J813" s="92"/>
      <c r="K813" s="92"/>
      <c r="L813" s="92"/>
    </row>
    <row r="814" spans="2:12" ht="9.75" customHeight="1" x14ac:dyDescent="0.25">
      <c r="B814" s="89"/>
      <c r="E814" s="95"/>
      <c r="F814" s="91"/>
      <c r="G814" s="91"/>
      <c r="H814" s="92"/>
      <c r="I814" s="92"/>
      <c r="J814" s="92"/>
      <c r="K814" s="92"/>
      <c r="L814" s="92"/>
    </row>
    <row r="815" spans="2:12" ht="9.75" customHeight="1" x14ac:dyDescent="0.25">
      <c r="B815" s="93"/>
      <c r="E815" s="95"/>
      <c r="F815" s="91"/>
      <c r="G815" s="91"/>
      <c r="H815" s="92"/>
      <c r="I815" s="92"/>
      <c r="J815" s="92"/>
      <c r="K815" s="92"/>
      <c r="L815" s="92"/>
    </row>
    <row r="816" spans="2:12" ht="9.75" customHeight="1" x14ac:dyDescent="0.25">
      <c r="B816" s="89"/>
      <c r="E816" s="94"/>
      <c r="F816" s="90"/>
      <c r="G816" s="90"/>
    </row>
    <row r="817" spans="2:12" ht="9.75" customHeight="1" x14ac:dyDescent="0.25">
      <c r="B817" s="89"/>
      <c r="E817" s="95"/>
      <c r="F817" s="91"/>
      <c r="G817" s="91"/>
      <c r="H817" s="92"/>
      <c r="I817" s="92"/>
      <c r="J817" s="92"/>
      <c r="K817" s="92"/>
      <c r="L817" s="92"/>
    </row>
    <row r="818" spans="2:12" ht="9.75" customHeight="1" x14ac:dyDescent="0.25">
      <c r="B818" s="93"/>
      <c r="E818" s="95"/>
      <c r="F818" s="91"/>
      <c r="G818" s="91"/>
      <c r="H818" s="92"/>
      <c r="I818" s="92"/>
      <c r="J818" s="92"/>
      <c r="K818" s="92"/>
    </row>
    <row r="819" spans="2:12" ht="9.75" customHeight="1" x14ac:dyDescent="0.25">
      <c r="B819" s="89"/>
      <c r="E819" s="94"/>
      <c r="F819" s="90"/>
      <c r="G819" s="90"/>
    </row>
    <row r="820" spans="2:12" ht="9.75" customHeight="1" x14ac:dyDescent="0.25">
      <c r="B820" s="89"/>
      <c r="E820" s="94"/>
      <c r="F820" s="90"/>
      <c r="G820" s="90"/>
    </row>
    <row r="821" spans="2:12" ht="9.75" customHeight="1" x14ac:dyDescent="0.25">
      <c r="B821" s="93"/>
      <c r="E821" s="95"/>
      <c r="F821" s="91"/>
      <c r="G821" s="91"/>
      <c r="H821" s="92"/>
      <c r="I821" s="92"/>
      <c r="J821" s="92"/>
      <c r="K821" s="92"/>
      <c r="L821" s="92"/>
    </row>
    <row r="822" spans="2:12" ht="9.75" customHeight="1" x14ac:dyDescent="0.25">
      <c r="B822" s="93"/>
      <c r="E822" s="95"/>
      <c r="F822" s="91"/>
      <c r="G822" s="91"/>
      <c r="H822" s="92"/>
      <c r="I822" s="92"/>
      <c r="J822" s="92"/>
      <c r="K822" s="92"/>
    </row>
    <row r="823" spans="2:12" ht="9.75" customHeight="1" x14ac:dyDescent="0.25">
      <c r="B823" s="89"/>
      <c r="E823" s="94"/>
      <c r="F823" s="90"/>
      <c r="G823" s="90"/>
    </row>
    <row r="824" spans="2:12" ht="9.75" customHeight="1" x14ac:dyDescent="0.25">
      <c r="E824" s="94"/>
      <c r="F824" s="90"/>
      <c r="G824" s="90"/>
    </row>
    <row r="825" spans="2:12" ht="9.75" customHeight="1" x14ac:dyDescent="0.25">
      <c r="B825" s="93"/>
      <c r="E825" s="95"/>
      <c r="F825" s="91"/>
      <c r="G825" s="91"/>
      <c r="H825" s="92"/>
      <c r="I825" s="92"/>
      <c r="J825" s="92"/>
      <c r="K825" s="92"/>
    </row>
    <row r="826" spans="2:12" ht="9.75" customHeight="1" x14ac:dyDescent="0.25">
      <c r="B826" s="93"/>
      <c r="E826" s="95"/>
      <c r="F826" s="91"/>
      <c r="G826" s="91"/>
      <c r="H826" s="92"/>
      <c r="I826" s="92"/>
      <c r="J826" s="92"/>
      <c r="K826" s="92"/>
    </row>
    <row r="827" spans="2:12" ht="9.75" customHeight="1" x14ac:dyDescent="0.25">
      <c r="B827" s="93"/>
      <c r="E827" s="95"/>
      <c r="F827" s="91"/>
      <c r="G827" s="91"/>
      <c r="H827" s="92"/>
      <c r="I827" s="92"/>
      <c r="J827" s="92"/>
      <c r="K827" s="92"/>
      <c r="L827" s="92"/>
    </row>
    <row r="828" spans="2:12" ht="9.75" customHeight="1" x14ac:dyDescent="0.25">
      <c r="B828" s="93"/>
      <c r="E828" s="95"/>
      <c r="F828" s="91"/>
      <c r="G828" s="91"/>
      <c r="H828" s="92"/>
      <c r="I828" s="92"/>
      <c r="J828" s="92"/>
      <c r="K828" s="92"/>
    </row>
    <row r="829" spans="2:12" ht="9.75" customHeight="1" x14ac:dyDescent="0.25">
      <c r="B829" s="93"/>
      <c r="E829" s="95"/>
      <c r="F829" s="91"/>
      <c r="G829" s="91"/>
      <c r="H829" s="92"/>
      <c r="I829" s="92"/>
      <c r="J829" s="92"/>
      <c r="K829" s="92"/>
    </row>
    <row r="830" spans="2:12" ht="9.75" customHeight="1" x14ac:dyDescent="0.25">
      <c r="B830" s="93"/>
      <c r="E830" s="95"/>
      <c r="F830" s="91"/>
      <c r="G830" s="91"/>
      <c r="H830" s="92"/>
      <c r="I830" s="92"/>
      <c r="J830" s="92"/>
      <c r="K830" s="92"/>
      <c r="L830" s="92"/>
    </row>
    <row r="831" spans="2:12" ht="9.75" customHeight="1" x14ac:dyDescent="0.25">
      <c r="B831" s="89"/>
      <c r="E831" s="94"/>
      <c r="F831" s="90"/>
      <c r="G831" s="90"/>
    </row>
    <row r="832" spans="2:12" ht="9.75" customHeight="1" x14ac:dyDescent="0.25">
      <c r="B832" s="93"/>
      <c r="E832" s="95"/>
      <c r="F832" s="91"/>
      <c r="G832" s="91"/>
      <c r="H832" s="92"/>
      <c r="I832" s="92"/>
      <c r="J832" s="92"/>
      <c r="K832" s="92"/>
    </row>
    <row r="833" spans="2:12" ht="9.75" customHeight="1" x14ac:dyDescent="0.25">
      <c r="B833" s="89"/>
      <c r="E833" s="94"/>
      <c r="F833" s="90"/>
      <c r="G833" s="90"/>
    </row>
    <row r="834" spans="2:12" ht="9.75" customHeight="1" x14ac:dyDescent="0.25">
      <c r="B834" s="89"/>
      <c r="E834" s="95"/>
      <c r="F834" s="91"/>
      <c r="G834" s="91"/>
      <c r="H834" s="92"/>
      <c r="I834" s="92"/>
      <c r="J834" s="92"/>
      <c r="K834" s="92"/>
      <c r="L834" s="92"/>
    </row>
    <row r="835" spans="2:12" ht="9.75" customHeight="1" x14ac:dyDescent="0.25">
      <c r="B835" s="89"/>
      <c r="E835" s="95"/>
      <c r="F835" s="91"/>
      <c r="G835" s="91"/>
      <c r="H835" s="92"/>
      <c r="I835" s="92"/>
      <c r="J835" s="92"/>
      <c r="K835" s="92"/>
      <c r="L835" s="92"/>
    </row>
    <row r="836" spans="2:12" ht="9.75" customHeight="1" x14ac:dyDescent="0.25">
      <c r="B836" s="93"/>
      <c r="E836" s="95"/>
      <c r="F836" s="91"/>
      <c r="G836" s="91"/>
      <c r="H836" s="92"/>
      <c r="I836" s="92"/>
      <c r="J836" s="92"/>
      <c r="K836" s="92"/>
    </row>
    <row r="837" spans="2:12" ht="9.75" customHeight="1" x14ac:dyDescent="0.25">
      <c r="B837" s="89"/>
      <c r="E837" s="94"/>
      <c r="F837" s="90"/>
      <c r="G837" s="90"/>
    </row>
    <row r="838" spans="2:12" ht="9.75" customHeight="1" x14ac:dyDescent="0.25">
      <c r="B838" s="89"/>
      <c r="E838" s="94"/>
      <c r="F838" s="90"/>
      <c r="G838" s="90"/>
    </row>
    <row r="839" spans="2:12" ht="9.75" customHeight="1" x14ac:dyDescent="0.25">
      <c r="B839" s="89"/>
      <c r="E839" s="94"/>
      <c r="F839" s="90"/>
      <c r="G839" s="90"/>
    </row>
    <row r="840" spans="2:12" ht="9.75" customHeight="1" x14ac:dyDescent="0.25">
      <c r="B840" s="89"/>
      <c r="E840" s="94"/>
      <c r="F840" s="90"/>
      <c r="G840" s="90"/>
    </row>
    <row r="841" spans="2:12" ht="9.75" customHeight="1" x14ac:dyDescent="0.25">
      <c r="B841" s="89"/>
      <c r="E841" s="95"/>
      <c r="F841" s="91"/>
      <c r="G841" s="91"/>
      <c r="H841" s="92"/>
      <c r="I841" s="92"/>
      <c r="J841" s="92"/>
      <c r="K841" s="92"/>
      <c r="L841" s="92"/>
    </row>
    <row r="842" spans="2:12" ht="9.75" customHeight="1" x14ac:dyDescent="0.25">
      <c r="B842" s="93"/>
      <c r="E842" s="95"/>
      <c r="F842" s="91"/>
      <c r="G842" s="91"/>
      <c r="H842" s="92"/>
      <c r="I842" s="92"/>
      <c r="J842" s="92"/>
      <c r="K842" s="92"/>
    </row>
    <row r="843" spans="2:12" ht="9.75" customHeight="1" x14ac:dyDescent="0.25">
      <c r="B843" s="89"/>
      <c r="E843" s="94"/>
      <c r="F843" s="90"/>
      <c r="G843" s="90"/>
    </row>
    <row r="844" spans="2:12" ht="9.75" customHeight="1" x14ac:dyDescent="0.25">
      <c r="B844" s="89"/>
      <c r="E844" s="95"/>
      <c r="F844" s="91"/>
      <c r="G844" s="91"/>
      <c r="H844" s="92"/>
      <c r="I844" s="92"/>
      <c r="J844" s="92"/>
      <c r="K844" s="92"/>
      <c r="L844" s="92"/>
    </row>
    <row r="845" spans="2:12" ht="9.75" customHeight="1" x14ac:dyDescent="0.25">
      <c r="B845" s="93"/>
      <c r="E845" s="95"/>
      <c r="F845" s="91"/>
      <c r="G845" s="91"/>
      <c r="H845" s="92"/>
      <c r="I845" s="92"/>
      <c r="J845" s="92"/>
      <c r="K845" s="92"/>
    </row>
    <row r="846" spans="2:12" ht="9.75" customHeight="1" x14ac:dyDescent="0.25">
      <c r="B846" s="89"/>
      <c r="E846" s="94"/>
      <c r="F846" s="90"/>
      <c r="G846" s="90"/>
    </row>
    <row r="847" spans="2:12" ht="9.75" customHeight="1" x14ac:dyDescent="0.25">
      <c r="B847" s="89"/>
      <c r="E847" s="95"/>
      <c r="F847" s="91"/>
      <c r="G847" s="91"/>
      <c r="H847" s="92"/>
      <c r="I847" s="92"/>
      <c r="J847" s="92"/>
      <c r="K847" s="92"/>
      <c r="L847" s="92"/>
    </row>
    <row r="848" spans="2:12" ht="9.75" customHeight="1" x14ac:dyDescent="0.25">
      <c r="B848" s="89"/>
      <c r="E848" s="94"/>
      <c r="F848" s="90"/>
      <c r="G848" s="90"/>
    </row>
    <row r="849" spans="2:12" ht="9.75" customHeight="1" x14ac:dyDescent="0.25">
      <c r="B849" s="93"/>
      <c r="E849" s="95"/>
      <c r="F849" s="91"/>
      <c r="G849" s="91"/>
      <c r="H849" s="92"/>
      <c r="I849" s="92"/>
      <c r="J849" s="92"/>
      <c r="K849" s="92"/>
    </row>
    <row r="850" spans="2:12" ht="9.75" customHeight="1" x14ac:dyDescent="0.25">
      <c r="B850" s="93"/>
      <c r="E850" s="95"/>
      <c r="F850" s="91"/>
      <c r="G850" s="91"/>
      <c r="H850" s="92"/>
      <c r="I850" s="92"/>
      <c r="J850" s="92"/>
      <c r="K850" s="92"/>
    </row>
    <row r="851" spans="2:12" ht="9.75" customHeight="1" x14ac:dyDescent="0.25">
      <c r="B851" s="89"/>
      <c r="E851" s="95"/>
      <c r="F851" s="91"/>
      <c r="G851" s="91"/>
      <c r="H851" s="92"/>
      <c r="I851" s="92"/>
      <c r="J851" s="92"/>
      <c r="K851" s="92"/>
      <c r="L851" s="92"/>
    </row>
    <row r="852" spans="2:12" ht="9.75" customHeight="1" x14ac:dyDescent="0.25">
      <c r="B852" s="89"/>
      <c r="E852" s="94"/>
      <c r="F852" s="90"/>
      <c r="G852" s="90"/>
    </row>
    <row r="853" spans="2:12" ht="9.75" customHeight="1" x14ac:dyDescent="0.25">
      <c r="B853" s="89"/>
      <c r="E853" s="94"/>
      <c r="F853" s="90"/>
      <c r="G853" s="90"/>
    </row>
    <row r="854" spans="2:12" ht="9.75" customHeight="1" x14ac:dyDescent="0.25">
      <c r="B854" s="89"/>
      <c r="E854" s="95"/>
      <c r="F854" s="91"/>
      <c r="G854" s="91"/>
      <c r="H854" s="92"/>
      <c r="I854" s="92"/>
      <c r="J854" s="92"/>
      <c r="K854" s="92"/>
      <c r="L854" s="92"/>
    </row>
    <row r="855" spans="2:12" ht="9.75" customHeight="1" x14ac:dyDescent="0.25">
      <c r="B855" s="89"/>
      <c r="E855" s="94"/>
      <c r="F855" s="90"/>
      <c r="G855" s="90"/>
    </row>
    <row r="856" spans="2:12" ht="9.75" customHeight="1" x14ac:dyDescent="0.25">
      <c r="B856" s="93"/>
      <c r="E856" s="95"/>
      <c r="F856" s="91"/>
      <c r="G856" s="91"/>
      <c r="H856" s="92"/>
      <c r="I856" s="92"/>
      <c r="J856" s="92"/>
      <c r="K856" s="92"/>
      <c r="L856" s="92"/>
    </row>
    <row r="857" spans="2:12" ht="9.75" customHeight="1" x14ac:dyDescent="0.25">
      <c r="B857" s="89"/>
      <c r="E857" s="94"/>
      <c r="F857" s="90"/>
      <c r="G857" s="90"/>
    </row>
    <row r="858" spans="2:12" ht="9.75" customHeight="1" x14ac:dyDescent="0.25">
      <c r="B858" s="89"/>
      <c r="E858" s="94"/>
      <c r="F858" s="90"/>
      <c r="G858" s="90"/>
    </row>
    <row r="859" spans="2:12" ht="9.75" customHeight="1" x14ac:dyDescent="0.25">
      <c r="B859" s="93"/>
      <c r="E859" s="95"/>
      <c r="F859" s="91"/>
      <c r="G859" s="91"/>
      <c r="H859" s="92"/>
      <c r="I859" s="92"/>
      <c r="J859" s="92"/>
      <c r="K859" s="92"/>
    </row>
    <row r="860" spans="2:12" ht="9.75" customHeight="1" x14ac:dyDescent="0.25">
      <c r="B860" s="89"/>
      <c r="E860" s="95"/>
      <c r="F860" s="91"/>
      <c r="G860" s="91"/>
      <c r="H860" s="92"/>
      <c r="I860" s="92"/>
      <c r="J860" s="92"/>
      <c r="K860" s="92"/>
      <c r="L860" s="92"/>
    </row>
    <row r="861" spans="2:12" ht="9.75" customHeight="1" x14ac:dyDescent="0.25">
      <c r="B861" s="89"/>
      <c r="E861" s="95"/>
      <c r="F861" s="91"/>
      <c r="G861" s="91"/>
      <c r="H861" s="92"/>
      <c r="I861" s="92"/>
      <c r="J861" s="92"/>
      <c r="K861" s="92"/>
      <c r="L861" s="92"/>
    </row>
    <row r="862" spans="2:12" ht="9.75" customHeight="1" x14ac:dyDescent="0.25">
      <c r="B862" s="93"/>
      <c r="E862" s="95"/>
      <c r="F862" s="91"/>
      <c r="G862" s="91"/>
      <c r="H862" s="92"/>
      <c r="I862" s="92"/>
      <c r="J862" s="92"/>
      <c r="K862" s="92"/>
    </row>
    <row r="863" spans="2:12" ht="9.75" customHeight="1" x14ac:dyDescent="0.25">
      <c r="B863" s="89"/>
      <c r="E863" s="94"/>
      <c r="F863" s="90"/>
      <c r="G863" s="90"/>
    </row>
    <row r="864" spans="2:12" ht="9.75" customHeight="1" x14ac:dyDescent="0.25">
      <c r="B864" s="89"/>
      <c r="E864" s="94"/>
      <c r="F864" s="90"/>
      <c r="G864" s="90"/>
    </row>
    <row r="865" spans="2:12" ht="9.75" customHeight="1" x14ac:dyDescent="0.25">
      <c r="B865" s="89"/>
      <c r="E865" s="94"/>
      <c r="F865" s="90"/>
      <c r="G865" s="90"/>
    </row>
    <row r="866" spans="2:12" ht="9.75" customHeight="1" x14ac:dyDescent="0.25">
      <c r="B866" s="93"/>
      <c r="E866" s="95"/>
      <c r="F866" s="91"/>
      <c r="G866" s="91"/>
      <c r="H866" s="92"/>
      <c r="I866" s="92"/>
      <c r="J866" s="92"/>
      <c r="K866" s="92"/>
      <c r="L866" s="92"/>
    </row>
    <row r="867" spans="2:12" ht="9.75" customHeight="1" x14ac:dyDescent="0.25">
      <c r="B867" s="89"/>
      <c r="E867" s="94"/>
      <c r="F867" s="90"/>
      <c r="G867" s="90"/>
    </row>
    <row r="868" spans="2:12" ht="9.75" customHeight="1" x14ac:dyDescent="0.25">
      <c r="B868" s="89"/>
      <c r="E868" s="95"/>
      <c r="F868" s="91"/>
      <c r="G868" s="91"/>
      <c r="H868" s="92"/>
      <c r="I868" s="92"/>
      <c r="J868" s="92"/>
      <c r="K868" s="92"/>
      <c r="L868" s="92"/>
    </row>
    <row r="869" spans="2:12" ht="9.75" customHeight="1" x14ac:dyDescent="0.25">
      <c r="B869" s="93"/>
      <c r="E869" s="95"/>
      <c r="F869" s="91"/>
      <c r="G869" s="91"/>
      <c r="H869" s="92"/>
      <c r="I869" s="92"/>
      <c r="J869" s="92"/>
      <c r="K869" s="92"/>
    </row>
    <row r="870" spans="2:12" ht="9.75" customHeight="1" x14ac:dyDescent="0.25">
      <c r="B870" s="89"/>
      <c r="E870" s="95"/>
      <c r="F870" s="91"/>
      <c r="G870" s="91"/>
      <c r="H870" s="92"/>
      <c r="I870" s="92"/>
      <c r="J870" s="92"/>
      <c r="K870" s="92"/>
      <c r="L870" s="92"/>
    </row>
    <row r="871" spans="2:12" ht="9.75" customHeight="1" x14ac:dyDescent="0.25">
      <c r="B871" s="93"/>
      <c r="E871" s="95"/>
      <c r="F871" s="91"/>
      <c r="G871" s="91"/>
      <c r="H871" s="92"/>
      <c r="I871" s="92"/>
      <c r="J871" s="92"/>
      <c r="K871" s="92"/>
    </row>
    <row r="872" spans="2:12" ht="9.75" customHeight="1" x14ac:dyDescent="0.25">
      <c r="B872" s="89"/>
      <c r="E872" s="94"/>
      <c r="F872" s="90"/>
      <c r="G872" s="90"/>
    </row>
    <row r="873" spans="2:12" ht="9.75" customHeight="1" x14ac:dyDescent="0.25">
      <c r="B873" s="89"/>
      <c r="E873" s="94"/>
      <c r="F873" s="90"/>
      <c r="G873" s="90"/>
    </row>
    <row r="874" spans="2:12" ht="9.75" customHeight="1" x14ac:dyDescent="0.25">
      <c r="B874" s="89"/>
      <c r="E874" s="94"/>
      <c r="F874" s="90"/>
      <c r="G874" s="90"/>
    </row>
    <row r="875" spans="2:12" ht="9.75" customHeight="1" x14ac:dyDescent="0.25">
      <c r="B875" s="93"/>
      <c r="E875" s="95"/>
      <c r="F875" s="91"/>
      <c r="G875" s="91"/>
      <c r="H875" s="92"/>
      <c r="I875" s="92"/>
      <c r="J875" s="92"/>
      <c r="K875" s="92"/>
    </row>
    <row r="876" spans="2:12" ht="9.75" customHeight="1" x14ac:dyDescent="0.25">
      <c r="B876" s="93"/>
      <c r="E876" s="95"/>
      <c r="F876" s="91"/>
      <c r="G876" s="91"/>
      <c r="H876" s="92"/>
      <c r="I876" s="92"/>
      <c r="J876" s="92"/>
      <c r="K876" s="92"/>
    </row>
    <row r="877" spans="2:12" ht="9.75" customHeight="1" x14ac:dyDescent="0.25">
      <c r="B877" s="89"/>
      <c r="E877" s="95"/>
      <c r="F877" s="91"/>
      <c r="G877" s="91"/>
      <c r="H877" s="92"/>
      <c r="I877" s="92"/>
      <c r="J877" s="92"/>
      <c r="K877" s="92"/>
      <c r="L877" s="92"/>
    </row>
    <row r="878" spans="2:12" ht="9.75" customHeight="1" x14ac:dyDescent="0.25">
      <c r="B878" s="89"/>
      <c r="E878" s="94"/>
      <c r="F878" s="90"/>
      <c r="G878" s="90"/>
    </row>
    <row r="879" spans="2:12" ht="9.75" customHeight="1" x14ac:dyDescent="0.25">
      <c r="B879" s="89"/>
      <c r="E879" s="94"/>
      <c r="F879" s="90"/>
      <c r="G879" s="90"/>
    </row>
    <row r="880" spans="2:12" ht="9.75" customHeight="1" x14ac:dyDescent="0.25">
      <c r="B880" s="89"/>
      <c r="E880" s="94"/>
      <c r="F880" s="90"/>
      <c r="G880" s="90"/>
    </row>
    <row r="881" spans="2:12" ht="9.75" customHeight="1" x14ac:dyDescent="0.25">
      <c r="B881" s="93"/>
      <c r="E881" s="95"/>
      <c r="F881" s="91"/>
      <c r="G881" s="91"/>
      <c r="H881" s="92"/>
      <c r="I881" s="92"/>
      <c r="J881" s="92"/>
      <c r="K881" s="92"/>
    </row>
    <row r="882" spans="2:12" ht="9.75" customHeight="1" x14ac:dyDescent="0.25">
      <c r="B882" s="89"/>
      <c r="E882" s="94"/>
      <c r="F882" s="90"/>
      <c r="G882" s="90"/>
    </row>
    <row r="883" spans="2:12" ht="9.75" customHeight="1" x14ac:dyDescent="0.25">
      <c r="B883" s="93"/>
      <c r="E883" s="95"/>
      <c r="F883" s="91"/>
      <c r="G883" s="91"/>
      <c r="H883" s="92"/>
      <c r="I883" s="92"/>
      <c r="J883" s="92"/>
      <c r="K883" s="92"/>
      <c r="L883" s="92"/>
    </row>
    <row r="884" spans="2:12" ht="9.75" customHeight="1" x14ac:dyDescent="0.25">
      <c r="B884" s="89"/>
      <c r="E884" s="94"/>
      <c r="F884" s="90"/>
      <c r="G884" s="90"/>
    </row>
    <row r="885" spans="2:12" ht="9.75" customHeight="1" x14ac:dyDescent="0.25">
      <c r="B885" s="93"/>
      <c r="E885" s="95"/>
      <c r="F885" s="91"/>
      <c r="G885" s="91"/>
      <c r="H885" s="92"/>
      <c r="I885" s="92"/>
      <c r="J885" s="92"/>
      <c r="K885" s="92"/>
    </row>
    <row r="886" spans="2:12" ht="9.75" customHeight="1" x14ac:dyDescent="0.25">
      <c r="B886" s="89"/>
      <c r="E886" s="95"/>
      <c r="F886" s="91"/>
      <c r="G886" s="91"/>
      <c r="H886" s="92"/>
      <c r="I886" s="92"/>
      <c r="J886" s="92"/>
      <c r="K886" s="92"/>
      <c r="L886" s="92"/>
    </row>
    <row r="887" spans="2:12" ht="9.75" customHeight="1" x14ac:dyDescent="0.25">
      <c r="B887" s="89"/>
      <c r="E887" s="94"/>
      <c r="F887" s="90"/>
      <c r="G887" s="90"/>
    </row>
    <row r="888" spans="2:12" ht="9.75" customHeight="1" x14ac:dyDescent="0.25">
      <c r="B888" s="89"/>
      <c r="E888" s="95"/>
      <c r="F888" s="91"/>
      <c r="G888" s="91"/>
      <c r="H888" s="92"/>
      <c r="I888" s="92"/>
      <c r="J888" s="92"/>
      <c r="K888" s="92"/>
      <c r="L888" s="92"/>
    </row>
    <row r="889" spans="2:12" ht="9.75" customHeight="1" x14ac:dyDescent="0.25">
      <c r="B889" s="89"/>
      <c r="E889" s="94"/>
      <c r="F889" s="90"/>
      <c r="G889" s="90"/>
    </row>
    <row r="890" spans="2:12" ht="9.75" customHeight="1" x14ac:dyDescent="0.25">
      <c r="B890" s="89"/>
      <c r="E890" s="94"/>
      <c r="F890" s="90"/>
      <c r="G890" s="90"/>
    </row>
    <row r="891" spans="2:12" ht="9.75" customHeight="1" x14ac:dyDescent="0.25">
      <c r="B891" s="89"/>
      <c r="E891" s="94"/>
      <c r="F891" s="90"/>
      <c r="G891" s="90"/>
    </row>
    <row r="892" spans="2:12" ht="9.75" customHeight="1" x14ac:dyDescent="0.25">
      <c r="B892" s="93"/>
      <c r="E892" s="95"/>
      <c r="F892" s="91"/>
      <c r="G892" s="91"/>
      <c r="H892" s="92"/>
      <c r="I892" s="92"/>
      <c r="J892" s="92"/>
      <c r="K892" s="92"/>
      <c r="L892" s="92"/>
    </row>
    <row r="893" spans="2:12" ht="9.75" customHeight="1" x14ac:dyDescent="0.25">
      <c r="B893" s="89"/>
      <c r="E893" s="95"/>
      <c r="F893" s="91"/>
      <c r="G893" s="91"/>
      <c r="H893" s="92"/>
      <c r="I893" s="92"/>
      <c r="J893" s="92"/>
      <c r="K893" s="92"/>
      <c r="L893" s="92"/>
    </row>
    <row r="894" spans="2:12" ht="9.75" customHeight="1" x14ac:dyDescent="0.25">
      <c r="B894" s="89"/>
      <c r="E894" s="94"/>
      <c r="F894" s="90"/>
      <c r="G894" s="90"/>
    </row>
    <row r="895" spans="2:12" ht="9.75" customHeight="1" x14ac:dyDescent="0.25">
      <c r="B895" s="89"/>
      <c r="E895" s="95"/>
      <c r="F895" s="91"/>
      <c r="G895" s="91"/>
      <c r="H895" s="92"/>
      <c r="I895" s="92"/>
      <c r="J895" s="92"/>
      <c r="K895" s="92"/>
      <c r="L895" s="92"/>
    </row>
    <row r="896" spans="2:12" ht="9.75" customHeight="1" x14ac:dyDescent="0.25">
      <c r="B896" s="89"/>
      <c r="E896" s="95"/>
      <c r="F896" s="91"/>
      <c r="G896" s="91"/>
      <c r="H896" s="92"/>
      <c r="I896" s="92"/>
      <c r="J896" s="92"/>
      <c r="K896" s="92"/>
      <c r="L896" s="92"/>
    </row>
    <row r="897" spans="2:12" ht="9.75" customHeight="1" x14ac:dyDescent="0.25">
      <c r="B897" s="89"/>
      <c r="E897" s="94"/>
      <c r="F897" s="90"/>
      <c r="G897" s="90"/>
    </row>
    <row r="898" spans="2:12" ht="9.75" customHeight="1" x14ac:dyDescent="0.25">
      <c r="B898" s="93"/>
      <c r="E898" s="95"/>
      <c r="F898" s="91"/>
      <c r="G898" s="91"/>
      <c r="H898" s="92"/>
      <c r="I898" s="92"/>
      <c r="J898" s="92"/>
      <c r="K898" s="92"/>
    </row>
    <row r="899" spans="2:12" ht="9.75" customHeight="1" x14ac:dyDescent="0.25">
      <c r="B899" s="89"/>
      <c r="E899" s="94"/>
      <c r="F899" s="90"/>
      <c r="G899" s="90"/>
    </row>
    <row r="900" spans="2:12" ht="9.75" customHeight="1" x14ac:dyDescent="0.25">
      <c r="B900" s="89"/>
      <c r="E900" s="94"/>
      <c r="F900" s="90"/>
      <c r="G900" s="90"/>
    </row>
    <row r="901" spans="2:12" ht="9.75" customHeight="1" x14ac:dyDescent="0.25">
      <c r="B901" s="93"/>
      <c r="E901" s="95"/>
      <c r="F901" s="91"/>
      <c r="G901" s="91"/>
      <c r="H901" s="92"/>
      <c r="I901" s="92"/>
      <c r="J901" s="92"/>
      <c r="K901" s="92"/>
      <c r="L901" s="92"/>
    </row>
    <row r="902" spans="2:12" ht="9.75" customHeight="1" x14ac:dyDescent="0.25">
      <c r="B902" s="89"/>
      <c r="E902" s="94"/>
      <c r="F902" s="90"/>
      <c r="G902" s="90"/>
    </row>
    <row r="903" spans="2:12" ht="9.75" customHeight="1" x14ac:dyDescent="0.25">
      <c r="B903" s="93"/>
      <c r="E903" s="96"/>
      <c r="F903" s="92"/>
      <c r="G903" s="92"/>
      <c r="H903" s="92"/>
      <c r="I903" s="92"/>
      <c r="J903" s="92"/>
      <c r="K903" s="92"/>
    </row>
    <row r="904" spans="2:12" ht="9.75" customHeight="1" x14ac:dyDescent="0.25">
      <c r="B904" s="89"/>
      <c r="E904" s="95"/>
      <c r="F904" s="91"/>
      <c r="G904" s="91"/>
      <c r="H904" s="92"/>
      <c r="I904" s="92"/>
      <c r="J904" s="92"/>
      <c r="K904" s="92"/>
      <c r="L904" s="92"/>
    </row>
    <row r="905" spans="2:12" ht="9.75" customHeight="1" x14ac:dyDescent="0.25">
      <c r="B905" s="89"/>
      <c r="E905" s="95"/>
      <c r="F905" s="91"/>
      <c r="G905" s="91"/>
      <c r="H905" s="92"/>
      <c r="I905" s="92"/>
      <c r="J905" s="92"/>
      <c r="K905" s="92"/>
      <c r="L905" s="92"/>
    </row>
    <row r="906" spans="2:12" ht="9.75" customHeight="1" x14ac:dyDescent="0.25">
      <c r="B906" s="89"/>
      <c r="E906" s="95"/>
      <c r="F906" s="91"/>
      <c r="G906" s="91"/>
      <c r="H906" s="92"/>
      <c r="I906" s="92"/>
      <c r="J906" s="92"/>
      <c r="K906" s="92"/>
      <c r="L906" s="92"/>
    </row>
    <row r="907" spans="2:12" ht="9.75" customHeight="1" x14ac:dyDescent="0.25">
      <c r="B907" s="93"/>
      <c r="E907" s="95"/>
      <c r="F907" s="91"/>
      <c r="G907" s="91"/>
      <c r="H907" s="92"/>
      <c r="I907" s="92"/>
      <c r="J907" s="92"/>
      <c r="K907" s="92"/>
      <c r="L907" s="92"/>
    </row>
    <row r="908" spans="2:12" ht="9.75" customHeight="1" x14ac:dyDescent="0.25">
      <c r="B908" s="93"/>
      <c r="E908" s="95"/>
      <c r="F908" s="91"/>
      <c r="G908" s="91"/>
      <c r="H908" s="92"/>
      <c r="I908" s="92"/>
      <c r="J908" s="92"/>
      <c r="K908" s="92"/>
      <c r="L908" s="92"/>
    </row>
    <row r="909" spans="2:12" ht="9.75" customHeight="1" x14ac:dyDescent="0.25">
      <c r="B909" s="89"/>
      <c r="E909" s="94"/>
      <c r="F909" s="90"/>
      <c r="G909" s="90"/>
    </row>
    <row r="910" spans="2:12" ht="9.75" customHeight="1" x14ac:dyDescent="0.25">
      <c r="B910" s="93"/>
      <c r="E910" s="95"/>
      <c r="F910" s="91"/>
      <c r="G910" s="91"/>
      <c r="H910" s="92"/>
      <c r="I910" s="92"/>
      <c r="J910" s="92"/>
      <c r="K910" s="92"/>
      <c r="L910" s="92"/>
    </row>
    <row r="911" spans="2:12" ht="9.75" customHeight="1" x14ac:dyDescent="0.25">
      <c r="B911" s="93"/>
      <c r="E911" s="95"/>
      <c r="F911" s="91"/>
      <c r="G911" s="91"/>
      <c r="H911" s="92"/>
      <c r="I911" s="92"/>
      <c r="J911" s="92"/>
      <c r="K911" s="92"/>
    </row>
    <row r="912" spans="2:12" ht="9.75" customHeight="1" x14ac:dyDescent="0.25">
      <c r="B912" s="89"/>
      <c r="E912" s="95"/>
      <c r="F912" s="91"/>
      <c r="G912" s="91"/>
      <c r="H912" s="92"/>
      <c r="I912" s="92"/>
      <c r="J912" s="92"/>
      <c r="K912" s="92"/>
      <c r="L912" s="92"/>
    </row>
    <row r="913" spans="2:12" ht="9.75" customHeight="1" x14ac:dyDescent="0.25">
      <c r="B913" s="89"/>
      <c r="E913" s="94"/>
      <c r="F913" s="90"/>
      <c r="G913" s="90"/>
    </row>
    <row r="914" spans="2:12" ht="9.75" customHeight="1" x14ac:dyDescent="0.25">
      <c r="B914" s="89"/>
    </row>
    <row r="915" spans="2:12" ht="9.75" customHeight="1" x14ac:dyDescent="0.25">
      <c r="B915" s="89"/>
      <c r="E915" s="95"/>
      <c r="F915" s="91"/>
      <c r="G915" s="91"/>
      <c r="H915" s="92"/>
      <c r="I915" s="92"/>
      <c r="J915" s="92"/>
      <c r="K915" s="92"/>
      <c r="L915" s="92"/>
    </row>
    <row r="916" spans="2:12" ht="9.75" customHeight="1" x14ac:dyDescent="0.25">
      <c r="B916" s="93"/>
      <c r="E916" s="95"/>
      <c r="F916" s="91"/>
      <c r="G916" s="91"/>
      <c r="H916" s="92"/>
      <c r="I916" s="92"/>
      <c r="J916" s="92"/>
      <c r="K916" s="92"/>
      <c r="L916" s="92"/>
    </row>
    <row r="917" spans="2:12" ht="9.75" customHeight="1" x14ac:dyDescent="0.25">
      <c r="B917" s="89"/>
      <c r="E917" s="95"/>
      <c r="F917" s="91"/>
      <c r="G917" s="91"/>
      <c r="H917" s="92"/>
      <c r="I917" s="92"/>
      <c r="J917" s="92"/>
      <c r="K917" s="92"/>
      <c r="L917" s="92"/>
    </row>
    <row r="918" spans="2:12" ht="9.75" customHeight="1" x14ac:dyDescent="0.25">
      <c r="E918" s="95"/>
      <c r="F918" s="91"/>
      <c r="G918" s="91"/>
      <c r="H918" s="92"/>
      <c r="I918" s="92"/>
      <c r="J918" s="92"/>
      <c r="K918" s="92"/>
      <c r="L918" s="92"/>
    </row>
    <row r="919" spans="2:12" ht="9.75" customHeight="1" x14ac:dyDescent="0.25">
      <c r="B919" s="93"/>
      <c r="E919" s="95"/>
      <c r="F919" s="91"/>
      <c r="G919" s="91"/>
      <c r="H919" s="92"/>
      <c r="I919" s="92"/>
      <c r="J919" s="92"/>
      <c r="K919" s="92"/>
      <c r="L919" s="92"/>
    </row>
    <row r="920" spans="2:12" ht="9.75" customHeight="1" x14ac:dyDescent="0.25">
      <c r="B920" s="93"/>
      <c r="E920" s="95"/>
      <c r="F920" s="91"/>
      <c r="G920" s="91"/>
      <c r="H920" s="92"/>
      <c r="I920" s="92"/>
      <c r="J920" s="92"/>
      <c r="K920" s="92"/>
    </row>
    <row r="921" spans="2:12" ht="9.75" customHeight="1" x14ac:dyDescent="0.25">
      <c r="B921" s="93"/>
      <c r="E921" s="95"/>
      <c r="F921" s="91"/>
      <c r="G921" s="91"/>
      <c r="H921" s="92"/>
      <c r="I921" s="92"/>
      <c r="J921" s="92"/>
      <c r="K921" s="92"/>
      <c r="L921" s="92"/>
    </row>
    <row r="922" spans="2:12" ht="9.75" customHeight="1" x14ac:dyDescent="0.25">
      <c r="B922" s="93"/>
      <c r="E922" s="95"/>
      <c r="F922" s="91"/>
      <c r="G922" s="91"/>
      <c r="H922" s="92"/>
      <c r="I922" s="92"/>
      <c r="J922" s="92"/>
      <c r="K922" s="92"/>
    </row>
    <row r="923" spans="2:12" ht="9.75" customHeight="1" x14ac:dyDescent="0.25">
      <c r="B923" s="93"/>
      <c r="E923" s="95"/>
      <c r="F923" s="91"/>
      <c r="G923" s="91"/>
      <c r="H923" s="92"/>
      <c r="I923" s="92"/>
      <c r="J923" s="92"/>
      <c r="K923" s="92"/>
      <c r="L923" s="92"/>
    </row>
    <row r="924" spans="2:12" ht="9.75" customHeight="1" x14ac:dyDescent="0.25">
      <c r="B924" s="89"/>
      <c r="E924" s="94"/>
      <c r="F924" s="90"/>
      <c r="G924" s="90"/>
    </row>
    <row r="925" spans="2:12" ht="9.75" customHeight="1" x14ac:dyDescent="0.25">
      <c r="B925" s="93"/>
      <c r="E925" s="96"/>
      <c r="F925" s="92"/>
      <c r="G925" s="92"/>
      <c r="H925" s="92"/>
      <c r="I925" s="92"/>
      <c r="J925" s="92"/>
      <c r="K925" s="92"/>
    </row>
    <row r="926" spans="2:12" ht="9.75" customHeight="1" x14ac:dyDescent="0.25">
      <c r="B926" s="89"/>
      <c r="E926" s="95"/>
      <c r="F926" s="91"/>
      <c r="G926" s="91"/>
      <c r="H926" s="92"/>
      <c r="I926" s="92"/>
      <c r="J926" s="92"/>
      <c r="K926" s="92"/>
      <c r="L926" s="92"/>
    </row>
    <row r="927" spans="2:12" ht="9.75" customHeight="1" x14ac:dyDescent="0.25">
      <c r="B927" s="93"/>
      <c r="E927" s="95"/>
      <c r="F927" s="91"/>
      <c r="G927" s="91"/>
      <c r="H927" s="92"/>
      <c r="I927" s="92"/>
      <c r="J927" s="92"/>
      <c r="K927" s="92"/>
      <c r="L927" s="92"/>
    </row>
    <row r="928" spans="2:12" ht="9.75" customHeight="1" x14ac:dyDescent="0.25">
      <c r="B928" s="89"/>
      <c r="E928" s="95"/>
      <c r="F928" s="91"/>
      <c r="G928" s="91"/>
      <c r="H928" s="92"/>
      <c r="I928" s="92"/>
      <c r="J928" s="92"/>
      <c r="K928" s="92"/>
      <c r="L928" s="92"/>
    </row>
    <row r="929" spans="2:12" ht="9.75" customHeight="1" x14ac:dyDescent="0.25">
      <c r="E929" s="95"/>
      <c r="F929" s="91"/>
      <c r="G929" s="91"/>
      <c r="H929" s="92"/>
      <c r="I929" s="92"/>
      <c r="J929" s="92"/>
      <c r="K929" s="92"/>
      <c r="L929" s="92"/>
    </row>
    <row r="930" spans="2:12" ht="9.75" customHeight="1" x14ac:dyDescent="0.25">
      <c r="B930" s="93"/>
      <c r="E930" s="95"/>
      <c r="F930" s="91"/>
      <c r="G930" s="91"/>
      <c r="H930" s="92"/>
      <c r="I930" s="92"/>
      <c r="J930" s="92"/>
      <c r="K930" s="92"/>
    </row>
    <row r="931" spans="2:12" ht="9.75" customHeight="1" x14ac:dyDescent="0.25">
      <c r="B931" s="93"/>
      <c r="E931" s="96"/>
      <c r="F931" s="92"/>
      <c r="G931" s="92"/>
      <c r="H931" s="92"/>
      <c r="I931" s="92"/>
      <c r="J931" s="92"/>
      <c r="K931" s="92"/>
      <c r="L931" s="92"/>
    </row>
    <row r="932" spans="2:12" ht="9.75" customHeight="1" x14ac:dyDescent="0.25">
      <c r="B932" s="93"/>
      <c r="E932" s="96"/>
      <c r="F932" s="92"/>
      <c r="G932" s="92"/>
      <c r="H932" s="92"/>
      <c r="I932" s="92"/>
      <c r="J932" s="92"/>
      <c r="K932" s="92"/>
    </row>
    <row r="933" spans="2:12" ht="9.75" customHeight="1" x14ac:dyDescent="0.25">
      <c r="B933" s="93"/>
      <c r="E933" s="96"/>
      <c r="F933" s="92"/>
      <c r="G933" s="92"/>
      <c r="H933" s="92"/>
      <c r="I933" s="92"/>
      <c r="J933" s="92"/>
      <c r="K933" s="92"/>
    </row>
    <row r="934" spans="2:12" ht="9.75" customHeight="1" x14ac:dyDescent="0.25">
      <c r="B934" s="93"/>
      <c r="E934" s="96"/>
      <c r="F934" s="92"/>
      <c r="G934" s="92"/>
      <c r="H934" s="92"/>
      <c r="I934" s="92"/>
      <c r="J934" s="92"/>
      <c r="K934" s="92"/>
    </row>
    <row r="935" spans="2:12" ht="9.75" customHeight="1" x14ac:dyDescent="0.25">
      <c r="B935" s="89"/>
    </row>
    <row r="936" spans="2:12" ht="9.75" customHeight="1" x14ac:dyDescent="0.25">
      <c r="B936" s="93"/>
      <c r="E936" s="96"/>
      <c r="F936" s="92"/>
      <c r="G936" s="92"/>
      <c r="H936" s="92"/>
      <c r="I936" s="92"/>
      <c r="J936" s="92"/>
      <c r="K936" s="92"/>
    </row>
    <row r="937" spans="2:12" ht="9.75" customHeight="1" x14ac:dyDescent="0.25">
      <c r="B937" s="89"/>
    </row>
    <row r="938" spans="2:12" ht="9.75" customHeight="1" x14ac:dyDescent="0.25">
      <c r="B938" s="93"/>
      <c r="E938" s="96"/>
      <c r="F938" s="92"/>
      <c r="G938" s="92"/>
      <c r="H938" s="92"/>
      <c r="I938" s="92"/>
      <c r="J938" s="92"/>
      <c r="K938" s="92"/>
    </row>
    <row r="939" spans="2:12" ht="9.75" customHeight="1" x14ac:dyDescent="0.25">
      <c r="B939" s="89"/>
    </row>
    <row r="941" spans="2:12" ht="9.75" customHeight="1" x14ac:dyDescent="0.25">
      <c r="B941" s="93"/>
      <c r="E941" s="96"/>
      <c r="F941" s="92"/>
      <c r="G941" s="92"/>
      <c r="H941" s="92"/>
      <c r="I941" s="92"/>
      <c r="J941" s="92"/>
      <c r="K941" s="92"/>
    </row>
    <row r="942" spans="2:12" ht="9.75" customHeight="1" x14ac:dyDescent="0.25">
      <c r="B942" s="93"/>
      <c r="E942" s="96"/>
      <c r="F942" s="92"/>
      <c r="G942" s="92"/>
      <c r="H942" s="92"/>
      <c r="I942" s="92"/>
      <c r="J942" s="92"/>
      <c r="K942" s="92"/>
    </row>
    <row r="943" spans="2:12" ht="9.75" customHeight="1" x14ac:dyDescent="0.25">
      <c r="B943" s="93"/>
      <c r="E943" s="96"/>
      <c r="F943" s="92"/>
      <c r="G943" s="92"/>
      <c r="H943" s="92"/>
      <c r="I943" s="92"/>
      <c r="J943" s="92"/>
      <c r="K943" s="92"/>
    </row>
    <row r="944" spans="2:12" ht="9.75" customHeight="1" x14ac:dyDescent="0.25">
      <c r="B944" s="93"/>
      <c r="E944" s="96"/>
      <c r="F944" s="92"/>
      <c r="G944" s="92"/>
      <c r="H944" s="92"/>
      <c r="I944" s="92"/>
      <c r="J944" s="92"/>
      <c r="K944" s="92"/>
    </row>
    <row r="945" spans="2:11" ht="9.75" customHeight="1" x14ac:dyDescent="0.25">
      <c r="B945" s="89"/>
    </row>
    <row r="946" spans="2:11" ht="9.75" customHeight="1" x14ac:dyDescent="0.25">
      <c r="B946" s="97"/>
      <c r="E946" s="96"/>
      <c r="F946" s="92"/>
      <c r="G946" s="92"/>
      <c r="H946" s="92"/>
      <c r="I946" s="92"/>
      <c r="J946" s="92"/>
      <c r="K946" s="92"/>
    </row>
  </sheetData>
  <autoFilter ref="A1:AM946" xr:uid="{00000000-0009-0000-0000-000008000000}"/>
  <mergeCells count="10">
    <mergeCell ref="B9:C11"/>
    <mergeCell ref="F9:F11"/>
    <mergeCell ref="G9:G11"/>
    <mergeCell ref="B13:C13"/>
    <mergeCell ref="B2:S2"/>
    <mergeCell ref="B3:S3"/>
    <mergeCell ref="B4:S4"/>
    <mergeCell ref="B5:S5"/>
    <mergeCell ref="B6:S6"/>
    <mergeCell ref="B7:S7"/>
  </mergeCells>
  <printOptions horizontalCentered="1"/>
  <pageMargins left="0.39370078740157483" right="0.39370078740157483" top="0.39370078740157483" bottom="0.98425196850393704" header="0" footer="0"/>
  <pageSetup scale="90" fitToHeight="9" orientation="portrait" r:id="rId1"/>
  <headerFooter scaleWithDoc="0" alignWithMargins="0">
    <oddFooter>&amp;CPágina 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BASE MENSUAL 2026 PRESUP.</vt:lpstr>
      <vt:lpstr>'BASE MENSUAL 2026 PRESUP.'!Área_de_impresión</vt:lpstr>
      <vt:lpstr>'BASE MENSUAL 2026 PRESUP.'!Títulos_a_imprimir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Pilcaya</dc:creator>
  <cp:lastModifiedBy>Pilcaya</cp:lastModifiedBy>
  <dcterms:created xsi:type="dcterms:W3CDTF">2026-05-28T15:35:49Z</dcterms:created>
  <dcterms:modified xsi:type="dcterms:W3CDTF">2026-05-28T15:36:28Z</dcterms:modified>
</cp:coreProperties>
</file>